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2"/>
    <sheet name="Segment - HPC Hosting" sheetId="3" r:id="rId3"/>
    <sheet name="Segment - DC Hosting" sheetId="4" r:id="rId4"/>
    <sheet name="Income Statement" sheetId="5" r:id="rId5"/>
    <sheet name="Balance Sheet" sheetId="6" r:id="rId6"/>
    <sheet name="Cash Flow Statement" sheetId="7" r:id="rId7"/>
    <sheet name="Share Count" sheetId="8" r:id="rId8"/>
    <sheet name="Guidance" sheetId="9" r:id="rId9"/>
    <sheet name="Inputs" sheetId="10" r:id="rId10"/>
    <sheet name="Sources" sheetId="11" r:id="rId11"/>
  </sheets>
  <calcPr calcId="0"/>
</workbook>
</file>

<file path=xl/sharedStrings.xml><?xml version="1.0" encoding="utf-8"?>
<sst xmlns="http://schemas.openxmlformats.org/spreadsheetml/2006/main" count="1687" uniqueCount="917">
  <si>
    <t>Applied Digital Corporation (NasdaqGS: APLD)</t>
  </si>
  <si>
    <t>Cover</t>
  </si>
  <si>
    <t>$ millions, except per share</t>
  </si>
  <si>
    <t>Period</t>
  </si>
  <si>
    <t>1Q26A</t>
  </si>
  <si>
    <t>2Q26A</t>
  </si>
  <si>
    <t>3Q26A</t>
  </si>
  <si>
    <t>4Q26A</t>
  </si>
  <si>
    <t>FY26A</t>
  </si>
  <si>
    <t>1Q27E</t>
  </si>
  <si>
    <t>Notes / sources</t>
  </si>
  <si>
    <t>Period end</t>
  </si>
  <si>
    <t>Days in period</t>
  </si>
  <si>
    <t>Company Model — built by Shortcut</t>
  </si>
  <si>
    <t>Author: Shortcut</t>
  </si>
  <si>
    <t>Company</t>
  </si>
  <si>
    <t>Applied Digital Corporation</t>
  </si>
  <si>
    <t>Ticker / exchange</t>
  </si>
  <si>
    <t>APLD / NasdaqGS</t>
  </si>
  <si>
    <t>Fiscal year end</t>
  </si>
  <si>
    <t>Fiscal year ends 31 May</t>
  </si>
  <si>
    <t>Reporting currency</t>
  </si>
  <si>
    <t>USD</t>
  </si>
  <si>
    <t>EPS basis (consensus)</t>
  </si>
  <si>
    <t>Normalized diluted EPS = company "Adjusted net income per diluted share" (excl. ChronoScale, SBC, one-offs, fair-value items), USD</t>
  </si>
  <si>
    <t>Forecast period</t>
  </si>
  <si>
    <t>1Q27E - fiscal Q1 FY2027, quarter ended 31-Aug-2026</t>
  </si>
  <si>
    <t>Information cutoff</t>
  </si>
  <si>
    <t>2026-10-04 22:22 UTC</t>
  </si>
  <si>
    <t>Expected report date</t>
  </si>
  <si>
    <t>2026-10-07, after market close (S14)</t>
  </si>
  <si>
    <t>Company date (S14, 28-Sep-26). CapIQ expected_report_date shows 2026-10-09 (Inputs C44); company announcement used</t>
  </si>
  <si>
    <t>Headline 1Q27E ($m / per share)</t>
  </si>
  <si>
    <t>Shortcut est.</t>
  </si>
  <si>
    <t>Consensus</t>
  </si>
  <si>
    <t>Variance</t>
  </si>
  <si>
    <t>Variance %</t>
  </si>
  <si>
    <t>Guide mid</t>
  </si>
  <si>
    <t>Alt. cons.</t>
  </si>
  <si>
    <t>Revenue</t>
  </si>
  <si>
    <t>n/a</t>
  </si>
  <si>
    <t>Consensus: CapIQ mean, 6 estimates (S1). Other: ScanX $134.86m (S15)</t>
  </si>
  <si>
    <t>Net income - adjusted (cons. basis)</t>
  </si>
  <si>
    <t>Consensus: CapIQ net income excl. exceptional items (S1). BASIS UNRESOLVED: model adjusted NI is pre-NCI (company definition, starts from net loss before NCI allocation); CapIQ -$90.6m implies ~302m shares at -$0.30 (C32) and sits near model post-NCI GAAP NI to common (-$92.2m), so E24:F25 may compare pre- vs post-NCI bases. Basis-matched scoring is not guaranteed until the basis CapIQ records for the 1Q27 actual is established (company-adjusted in 5/6 verified history pairs; 3Q25 unverified, Inputs J119)</t>
  </si>
  <si>
    <t>EPS - normalized diluted</t>
  </si>
  <si>
    <t>Consensus: CapIQ normalized mean -$0.30, 4 estimates (S1). Other: MarketBeat -$0.2954 (S15)</t>
  </si>
  <si>
    <t>Net income - GAAP, continuing</t>
  </si>
  <si>
    <t>Consensus: CapIQ GAAP net income mean (S1)</t>
  </si>
  <si>
    <t>EPS - GAAP diluted, continuing</t>
  </si>
  <si>
    <t>Consensus: CapIQ GAAP EPS mean, 10 estimates (S1)</t>
  </si>
  <si>
    <t>P(beat consensus EPS)</t>
  </si>
  <si>
    <t>Equals p_beat_consensus_eps in estimate.json. Conditional on CapIQ again recording company pre-NCI adjusted EPS; see basis caveat in I24</t>
  </si>
  <si>
    <t>Confidence</t>
  </si>
  <si>
    <t>Equals confidence in estimate.json</t>
  </si>
  <si>
    <t>Overall model check</t>
  </si>
  <si>
    <t>Scalar check: every listed range must be fully numeric (COUNT guard) and its sum of absolute values (SUMIF &gt;0 less SUMIF &lt;0) must be 0 (HPC/DC &lt; 0.01). Tests Rev. summary C57:G57, BS C60:H60 and C23:F23, CF C40:G40 and C41:F41, IS C132:D132, HPC C143:G143, DC C67:G67. Forecast identities excluded: IS row 88, IS H117, Rev. summary H57, CF H40, Cover C33. Explained FY26 residuals are assumptions, not PASS checks: IS G78 -0.555, IS G138 0.238, HPC G152 0.351, Rev. summary C62:D62 16.7/18.4 (CapIQ pre-recast basis)</t>
  </si>
  <si>
    <t>Normalized EPS contributors (n)</t>
  </si>
  <si>
    <t>CapIQ eps_normalized_n_est (S1) - thin coverage; revenue n = 6, GAAP EPS n = 10</t>
  </si>
  <si>
    <t>Memo: implied cons. shares (m)</t>
  </si>
  <si>
    <t>CapIQ NI excl. exceptional / normalized EPS consensus = -90.6 / -0.30 = ~302m shares: near basic GAAP shares, and -90.6 is close to model GAAP continuing NI to common (IS H48, after NCI). Suggests a post-NCI consensus basis vs model pre-NCI company-adjusted NI (see I24)</t>
  </si>
  <si>
    <t>Memo: link identity (0 = OK)</t>
  </si>
  <si>
    <t>C23:C25 are links to IS H14/H76/H82 compared with the same cells: an identity memo, excluded from the C30 check</t>
  </si>
  <si>
    <t>Key driver 1</t>
  </si>
  <si>
    <t>Key drivers: HPC base rent steps up with Building 2 Phase 1 (75 MW, rent from Jul-26) at the 4Q26 rate per MW; fit-out revenue from the Building 2 ladder (Phase 2 RFS 2-Oct-26).</t>
  </si>
  <si>
    <t>Key driver 2</t>
  </si>
  <si>
    <t>Data Center Hosting flat at 286 MW / full utilisation; ChronoScale on 6,144 GPUs with a modest price uplift.</t>
  </si>
  <si>
    <t>Key driver 3</t>
  </si>
  <si>
    <t>Adjusted EPS excludes SBC, ChronoScale, one-offs and fair-value items (company definition; CapIQ actuals verified equal in 5/6 history pairs, 3Q25 unverified). Net interest rises with the $1.59bn 7% notes.</t>
  </si>
  <si>
    <t>Key driver 4</t>
  </si>
  <si>
    <t>Consensus (-$0.30) sits ~$0.36 below the model on the basis CapIQ records; revenue consensus ($124.6m) excludes fit-out.</t>
  </si>
  <si>
    <t>Revenue summary (segment build, growth and mix)</t>
  </si>
  <si>
    <t>Revenue by segment ($m)</t>
  </si>
  <si>
    <t>HPC Hosting</t>
  </si>
  <si>
    <t>Linked from Segment - HPC Hosting</t>
  </si>
  <si>
    <t xml:space="preserve">    Year-ago quarter</t>
  </si>
  <si>
    <t xml:space="preserve">    % Y/Y</t>
  </si>
  <si>
    <t xml:space="preserve">    % Q/Q</t>
  </si>
  <si>
    <t xml:space="preserve">    % of total revenue</t>
  </si>
  <si>
    <t xml:space="preserve">      M&amp;A / scope contribution</t>
  </si>
  <si>
    <t>No acquired revenue in continuing ops: Ekso (acquired via ChronoScale, May-26) is discontinued ops (S4 Note 1/4)</t>
  </si>
  <si>
    <t xml:space="preserve">      FX impact</t>
  </si>
  <si>
    <t>All revenue USD; all operations in the United States (S4) - FX impact is nil by construction</t>
  </si>
  <si>
    <t xml:space="preserve">      Organic growth</t>
  </si>
  <si>
    <t xml:space="preserve">      Total Y/Y</t>
  </si>
  <si>
    <t>Data Center Hosting</t>
  </si>
  <si>
    <t>Linked from Segment - DC Hosting</t>
  </si>
  <si>
    <t xml:space="preserve">  ChronoScale GPUs deployed (#)</t>
  </si>
  <si>
    <t>6,144 H100 GPUs, ~14 MW colocation, single customer (Together AI) at 31-May-26 (S18). Earlier counts not disclosed. 1Q27E: no fleet change disclosed; Microsoft 50 MW partnership (6-Aug-26) is future deployment</t>
  </si>
  <si>
    <t xml:space="preserve">    Q/Q change (#)</t>
  </si>
  <si>
    <t xml:space="preserve">    Y/Y change (#)</t>
  </si>
  <si>
    <t xml:space="preserve">  Revenue per GPU per quarter ($000)</t>
  </si>
  <si>
    <t xml:space="preserve">    Price change per GPU Q/Q (assumption)</t>
  </si>
  <si>
    <t>Assumption: customer contract extended at higher pricing during 4Q26 (S11)</t>
  </si>
  <si>
    <t xml:space="preserve">    Q/Q change (abs.)</t>
  </si>
  <si>
    <t xml:space="preserve">    Y/Y change (abs.)</t>
  </si>
  <si>
    <t>Other - ChronoScale</t>
  </si>
  <si>
    <t>1Q26/2Q26 Cloud revenue reported in discontinued ops (S10 R47, S8 R50), recast to continuing ops; 3Q26 (S6); 4Q26 (S3 reconciliation)</t>
  </si>
  <si>
    <t>S10 R47, S8 R50, S6, S3</t>
  </si>
  <si>
    <t>Ekso (acquired May-26) is in discontinued ops; ChronoScale continuing revenue is the legacy Cloud business (S4)</t>
  </si>
  <si>
    <t>Total revenue</t>
  </si>
  <si>
    <t>Checks and reconciliations</t>
  </si>
  <si>
    <t>Total revenue per Income Statement</t>
  </si>
  <si>
    <t>Segment sums vs IS totals differ by $0.001m in C (80.935 vs 80.934) and G (611.311 vs 611.310): source rounding of reported $000; row 57 rounds to 0.01</t>
  </si>
  <si>
    <t>Check: segments sum to total (0)</t>
  </si>
  <si>
    <t>1Q27E: IS H14 links to H45, so H57 is an identity, not an independent check</t>
  </si>
  <si>
    <t>Adj. revenue ex-ChronoScale</t>
  </si>
  <si>
    <t xml:space="preserve">  Adjusted revenue as reported</t>
  </si>
  <si>
    <t>1Q26/2Q26: revenue as originally reported with Cloud in discontinued ops (S9, S7); 3Q26-FY26 company "Adjusted revenue" (S5, S3)</t>
  </si>
  <si>
    <t xml:space="preserve">    Model less reported</t>
  </si>
  <si>
    <t xml:space="preserve">  CapIQ revenue actual (Inputs)</t>
  </si>
  <si>
    <t>S2; target-quarter actual intentionally absent</t>
  </si>
  <si>
    <t xml:space="preserve">    Model total less CapIQ actual</t>
  </si>
  <si>
    <t>1Q26/2Q26 differences = ChronoScale revenue recast into continuing ops; CapIQ kept the original basis</t>
  </si>
  <si>
    <t xml:space="preserve">  CapIQ revenue consensus (Inputs)</t>
  </si>
  <si>
    <t>S1/S2</t>
  </si>
  <si>
    <t xml:space="preserve">    Model less consensus</t>
  </si>
  <si>
    <t>Geography: ~100% United States - no Geo tab</t>
  </si>
  <si>
    <t>All operating data centres in North Dakota; ChronoScale colocation in CO/MN/UT; no non-US revenue disclosed (S4). See Sources</t>
  </si>
  <si>
    <t>Segment - HPC Hosting (capacity, rent and fit-out drivers)</t>
  </si>
  <si>
    <t>Capacity ladder - critical IT load (MW)</t>
  </si>
  <si>
    <t>Opening MW in service</t>
  </si>
  <si>
    <t>S9/S7: no HPC MW in service before ELN-02 RFS (Oct/Nov-25)</t>
  </si>
  <si>
    <t>MW placed in service (gross)</t>
  </si>
  <si>
    <t>2Q26: ELN-02 100 MW RFS (S7). 1Q27E: Building 2 Phase 1 75 MW RFS 30-Jun-26 (S12). Phase 2 RFS 2-Oct-26 is after quarter end (S13)</t>
  </si>
  <si>
    <t>MW terminated / returned</t>
  </si>
  <si>
    <t>No terminations disclosed (S3/S4)</t>
  </si>
  <si>
    <t>Net additions</t>
  </si>
  <si>
    <t>Closing MW in service</t>
  </si>
  <si>
    <t xml:space="preserve">    Year-ago closing MW in service</t>
  </si>
  <si>
    <t>No HPC capacity in service in FY25 (S4)</t>
  </si>
  <si>
    <t xml:space="preserve">    Y/Y change (MW)</t>
  </si>
  <si>
    <t xml:space="preserve">    Q/Q change (MW)</t>
  </si>
  <si>
    <t>Rent days of MW added in period</t>
  </si>
  <si>
    <t>2Q26: implied by $12.0m partial-quarter rent at the 4Q26 run-rate (S7). 1Q27E: rent assumed from 1-Jul-26 after 30-Jun-26 RFS (62 of 92 days)</t>
  </si>
  <si>
    <t xml:space="preserve">    Q/Q change (days)</t>
  </si>
  <si>
    <t xml:space="preserve">    Y/Y change (days)</t>
  </si>
  <si>
    <t>Average rent-paying MW</t>
  </si>
  <si>
    <t xml:space="preserve">    Year-ago average rent-paying MW</t>
  </si>
  <si>
    <t>Contracted MW (period end)</t>
  </si>
  <si>
    <t>PF1 400 MW fully leased Aug-25 (S9); +PF2 200 MW Oct-25 (S7); 1,410 MW across five campuses at May-26 incl. DF2 signed 5-Jun-26 (S3/S4). No new lease announced Jun-Oct 4 2026</t>
  </si>
  <si>
    <t xml:space="preserve">    Year-ago contracted MW</t>
  </si>
  <si>
    <t>ELN-02/ELN-03 250 MW signed 28-May-25 (S4); third 150 MW lease signed in 1Q26 (S9). Year-ago C27:E27 = 0: 31-Aug-24, 30-Nov-24 and 28-Feb-25 precede the first lease (consistent with C37:E37, C41:E41, C45:E45 = 0)</t>
  </si>
  <si>
    <t>Contracted MW not yet in service</t>
  </si>
  <si>
    <t>% of contracted MW in service</t>
  </si>
  <si>
    <t xml:space="preserve">    Change Q/Q (bps)</t>
  </si>
  <si>
    <t xml:space="preserve">    Change Y/Y (bps)</t>
  </si>
  <si>
    <t>Contracted lease revenue ($m)</t>
  </si>
  <si>
    <t>~$11bn PF1 (S9); ~$16bn incl. PF2 (S7/S5); ~$36bn incl. PF3, DF1, DF2 (S3)</t>
  </si>
  <si>
    <t xml:space="preserve">    Year-ago contracted lease revenue</t>
  </si>
  <si>
    <t>~$7bn from the two CoreWeave leases signed 28-May-25 (S11); none before</t>
  </si>
  <si>
    <t xml:space="preserve">    Y/Y change ($m)</t>
  </si>
  <si>
    <t xml:space="preserve">    Q/Q change ($m)</t>
  </si>
  <si>
    <t>Campuses under lease (#)</t>
  </si>
  <si>
    <t>S9, S7, S3</t>
  </si>
  <si>
    <t xml:space="preserve">    Year-ago campuses under lease</t>
  </si>
  <si>
    <t>PF1 leased to CoreWeave May-25 (S4)</t>
  </si>
  <si>
    <t>HPC tenants (#)</t>
  </si>
  <si>
    <t>CoreWeave; IG hyperscaler (PF2); high-IG hyperscaler (PF3/DF1/DF2) (S3)</t>
  </si>
  <si>
    <t xml:space="preserve">    Year-ago HPC tenants</t>
  </si>
  <si>
    <t>CoreWeave from May-25 (S4)</t>
  </si>
  <si>
    <t>Pricing and unit economics ($m per MW)</t>
  </si>
  <si>
    <t>Base rent per average MW per quarter</t>
  </si>
  <si>
    <t>1Q27E assumption: Building 2 rents at the 4Q26 realised straight-line rate of the same CoreWeave lease family</t>
  </si>
  <si>
    <t>Annualised base rent per MW</t>
  </si>
  <si>
    <t>Recoveries per avg MW per quarter</t>
  </si>
  <si>
    <t>1Q27E assumption: 4Q26 recovery rate per rent-paying MW (pass-through, ~zero margin)</t>
  </si>
  <si>
    <t>Revenue build ($m)</t>
  </si>
  <si>
    <t>Base rent</t>
  </si>
  <si>
    <t>2Q26 ~$12.0m partial-quarter rent (S7); 3Q26 ~$44.1m (S5); 4Q26 $44.062m (S3 NOI table)</t>
  </si>
  <si>
    <t>Tenant recoveries &amp; pass-through</t>
  </si>
  <si>
    <t>3Q26 $8.1m power pass-through &amp; ancillary (S5); 4Q26 $6.5m tenant recoveries (S3)</t>
  </si>
  <si>
    <t>Rental &amp; other revenue</t>
  </si>
  <si>
    <t>Tenant fit-out services</t>
  </si>
  <si>
    <t>History = reported segment revenue less rental lines (cost-plus fit-out for CoreWeave). 1Q27E from Building 2 ladder below</t>
  </si>
  <si>
    <t>HPC Hosting segment revenue</t>
  </si>
  <si>
    <t>1Q26-3Q26 segment tables (S10, S8, S6); 4Q26 = FY (S4) less 9M (S6)</t>
  </si>
  <si>
    <t>HPC segment had no revenue in FY25 (S4 Note 19)</t>
  </si>
  <si>
    <t xml:space="preserve">  Memo: fit-out as disclosed</t>
  </si>
  <si>
    <t>"approximately" figures: S9, S7, S5, S3; FY $270.602m (S4 Note 19)</t>
  </si>
  <si>
    <t xml:space="preserve">    Derived less disclosed (rounding)</t>
  </si>
  <si>
    <t xml:space="preserve">  Memo: FY26 base rent per 10-K</t>
  </si>
  <si>
    <t>S3/S4: base rent $99.811m; quarterly disclosures are approximate</t>
  </si>
  <si>
    <t xml:space="preserve">    Sum of quarters less 10-K</t>
  </si>
  <si>
    <t>Building 2 (ELN-03, 150 MW) fit-out ladder - 1Q27E driver</t>
  </si>
  <si>
    <t>Reference: Building 1 fit-out per MW (1Q26+2Q26)</t>
  </si>
  <si>
    <t>~$1.0m per MW on the first 100 MW building</t>
  </si>
  <si>
    <t>Building 2 critical IT MW</t>
  </si>
  <si>
    <t>S4: ELN-03 150 MW; Phase 1 75 MW RFS 30-Jun-26 (S12), Phase 2 75 MW RFS 2-Oct-26 (S13)</t>
  </si>
  <si>
    <t>Fit-out value per MW (assumed)</t>
  </si>
  <si>
    <t>Assumption: midpoint of Building 1 (~$1.0-1.2m/MW) and Phase-1-implied (~$2.3m/MW if 3Q26-4Q26 fit-out covered Phase 1 only)</t>
  </si>
  <si>
    <t>Total Building 2 fit-out value</t>
  </si>
  <si>
    <t>Recognised in 3Q26-4Q26</t>
  </si>
  <si>
    <t>Remaining Building 2 fit-out</t>
  </si>
  <si>
    <t>Share of remaining in 1Q27</t>
  </si>
  <si>
    <t>Assumption: Phase 2 RFS 2-Oct-26, so most remaining fit-out falls in the Jun-Aug quarter (pattern: 4Q26 fit-out preceded Phase 1 RFS)</t>
  </si>
  <si>
    <t>1Q27E tenant fit-out revenue</t>
  </si>
  <si>
    <t>Segment costs and profit ($m)</t>
  </si>
  <si>
    <t>Fit-out cost of revenue</t>
  </si>
  <si>
    <t>4Q26 $145.6m (S3); FY26 $258.147m (S4 Note 19). Not disclosed for 1Q26-3Q26</t>
  </si>
  <si>
    <t>Fit-out gross margin</t>
  </si>
  <si>
    <t>1Q27E assumption: FY26 cost-plus margin</t>
  </si>
  <si>
    <t xml:space="preserve">  Recoverable operating costs</t>
  </si>
  <si>
    <t>S3; FY S3/S4</t>
  </si>
  <si>
    <t xml:space="preserve">  D&amp;A in rental cost</t>
  </si>
  <si>
    <t>S3; 1Q27E scales 4Q26 D&amp;A per rent-paying MW</t>
  </si>
  <si>
    <t xml:space="preserve">  Personnel, opex, tax &amp; insurance</t>
  </si>
  <si>
    <t>4Q26 $4.5m personnel &amp; other (S3). FY26 = rental opex 8.545 + tax 0.198 + insurance 0.68 (G144:G146, 10-K basis; FY personnel &amp; other not disclosed) - different definition from 4Q26</t>
  </si>
  <si>
    <t xml:space="preserve">  Other / rounding</t>
  </si>
  <si>
    <t>Residual not comparable between F (4Q26 basis) and G (FY 10-K basis); 4Q26 NOI items F144:F146 = 4.151 vs 4.5</t>
  </si>
  <si>
    <t>Rental &amp; other cost of revenue</t>
  </si>
  <si>
    <t>4Q26 $25.110m (S3); FY26 HPC $56.773m (S4 Note 19). Consolidated IS G19 is 56.771 (10-K face); $0.002m source rounding difference, not modelled</t>
  </si>
  <si>
    <t>HPC cost of revenue</t>
  </si>
  <si>
    <t>S10, S8, S6; 4Q26 = FY less 9M</t>
  </si>
  <si>
    <t>HPC gross margin</t>
  </si>
  <si>
    <t>HPC SG&amp;A</t>
  </si>
  <si>
    <t>S10, S8, S6; 1Q27E = average of 3Q26-4Q26</t>
  </si>
  <si>
    <t>HPC abandonment loss</t>
  </si>
  <si>
    <t>HPC segment profit</t>
  </si>
  <si>
    <t>HPC segment margin</t>
  </si>
  <si>
    <t xml:space="preserve">  Segment profit as reported</t>
  </si>
  <si>
    <t>S10, S8, S6, S4</t>
  </si>
  <si>
    <t xml:space="preserve">    Check: model less reported</t>
  </si>
  <si>
    <t>Rental opex (non-recoverable)</t>
  </si>
  <si>
    <t>S3 NOI reconciliation</t>
  </si>
  <si>
    <t>Property taxes</t>
  </si>
  <si>
    <t>S3</t>
  </si>
  <si>
    <t>Property insurance</t>
  </si>
  <si>
    <t>Net operating income (NOI)</t>
  </si>
  <si>
    <t>Base rent less non-recoverable opex, tax, insurance (S3). Not disclosed before 4Q26</t>
  </si>
  <si>
    <t>NOI margin</t>
  </si>
  <si>
    <t xml:space="preserve">  NOI as reported</t>
  </si>
  <si>
    <t>G differs because FY base rent sums approximate quarterly disclosures</t>
  </si>
  <si>
    <t>HPC segment D&amp;A</t>
  </si>
  <si>
    <t>S10 R73, S8 R79, S6 R79; 4Q26 = FY (S4) less 9M</t>
  </si>
  <si>
    <t>Reported year-to-date figures used to derive 4Q26 (E = 9M to Feb-26, G = FY26)</t>
  </si>
  <si>
    <t xml:space="preserve">  Segment revenue</t>
  </si>
  <si>
    <t>S6 R77 / S4 Note 19</t>
  </si>
  <si>
    <t xml:space="preserve">  Cost of revenue</t>
  </si>
  <si>
    <t>FY = services 258.147 + rental 56.773 (S4)</t>
  </si>
  <si>
    <t xml:space="preserve">  SG&amp;A</t>
  </si>
  <si>
    <t xml:space="preserve">  Loss on abandonment</t>
  </si>
  <si>
    <t xml:space="preserve">  Segment profit</t>
  </si>
  <si>
    <t xml:space="preserve">  D&amp;A</t>
  </si>
  <si>
    <t>S6 R79 / S4 Note 19</t>
  </si>
  <si>
    <t>Segment - Data Center Hosting (blockchain hosting drivers)</t>
  </si>
  <si>
    <t>Capacity ladder - energised hosting capacity (MW)</t>
  </si>
  <si>
    <t xml:space="preserve">  Jamestown, ND</t>
  </si>
  <si>
    <t>S3/S5: 106 MW at full capacity</t>
  </si>
  <si>
    <t xml:space="preserve">  Ellendale, ND</t>
  </si>
  <si>
    <t>S3/S5: 180 MW at full capacity</t>
  </si>
  <si>
    <t>Opening MW</t>
  </si>
  <si>
    <t>286 MW across two ND sites (S3)</t>
  </si>
  <si>
    <t>MW added</t>
  </si>
  <si>
    <t>MW removed / sold</t>
  </si>
  <si>
    <t>Garden City sale completed in FY25 (S4)</t>
  </si>
  <si>
    <t>Closing MW</t>
  </si>
  <si>
    <t xml:space="preserve">    Check: closing less site total</t>
  </si>
  <si>
    <t>Average MW</t>
  </si>
  <si>
    <t>Utilisation of energised capacity</t>
  </si>
  <si>
    <t>"operating at full capacity" (S5, S3)</t>
  </si>
  <si>
    <t>Hosting customers (#)</t>
  </si>
  <si>
    <t>Single crypto-mining customer (Customer B, 25% of FY26 revenue) (S4)</t>
  </si>
  <si>
    <t>Pricing ($m per MW per quarter)</t>
  </si>
  <si>
    <t>Revenue per utilised MW</t>
  </si>
  <si>
    <t>1Q27E: average of 3Q26-4Q26 (capacity-based pricing; paid regardless of bitcoin price - S3)</t>
  </si>
  <si>
    <t>Cost of revenue per MW</t>
  </si>
  <si>
    <t>1Q27E: average of 3Q26-4Q26</t>
  </si>
  <si>
    <t>Revenue and segment profit ($m)</t>
  </si>
  <si>
    <t>DC Hosting segment revenue</t>
  </si>
  <si>
    <t>S10, S8, S6; 4Q26 = FY (S4) less 9M (S6)</t>
  </si>
  <si>
    <t>1Q25 incl. $1.926m related-party (S10); 2Q25 (S8); 3Q25 (S6); 4Q25 = adjusted revenue (S3); FY25 (S4)</t>
  </si>
  <si>
    <t>Cost of revenue</t>
  </si>
  <si>
    <t>Gross margin</t>
  </si>
  <si>
    <t>SG&amp;A</t>
  </si>
  <si>
    <t>Abandonment loss</t>
  </si>
  <si>
    <t>DC Hosting segment profit</t>
  </si>
  <si>
    <t>Segment margin</t>
  </si>
  <si>
    <t>Data Center Hosting D&amp;A</t>
  </si>
  <si>
    <t>S10 R73, S8 R79, S6 R79, S4</t>
  </si>
  <si>
    <t>S6 R77/R79; S4 Note 19</t>
  </si>
  <si>
    <t>Income Statement (GAAP, non-GAAP bridge, EPS)</t>
  </si>
  <si>
    <t>Revenue ($m)</t>
  </si>
  <si>
    <t xml:space="preserve">  HPC Hosting</t>
  </si>
  <si>
    <t xml:space="preserve">  Data Center Hosting</t>
  </si>
  <si>
    <t xml:space="preserve">  Other - ChronoScale</t>
  </si>
  <si>
    <t>History: as reported, Cloud/ChronoScale recast into continuing ops for 1Q26-2Q26 (see recast block). 1Q27E linked from Revenue summary</t>
  </si>
  <si>
    <t>Linked from Revenue summary (FY25 on Cloud-inclusive basis)</t>
  </si>
  <si>
    <t xml:space="preserve">  Services cost of revenue</t>
  </si>
  <si>
    <t>S3; FY26 per 10-K (S4). Split first presented in 4Q26; 1Q27E = fit-out + hosting + ChronoScale</t>
  </si>
  <si>
    <t xml:space="preserve">  Rental &amp; other cost of revenue</t>
  </si>
  <si>
    <t>Linked from Segment - HPC Hosting (S3); FY26 consolidated per 10-K (S4)</t>
  </si>
  <si>
    <t>3Q26 (S5). G20 = sum of quarters (453.631); 10-K FY split G18 + G19 = 453.629 ($0.002m source rounding). 1Q26-3Q26 split not disclosed (n/a, not zero), so G18:G19 are FY-disclosed values, not sums of quarters</t>
  </si>
  <si>
    <t>Gross profit</t>
  </si>
  <si>
    <t>SG&amp;A (incl. SBC)</t>
  </si>
  <si>
    <t>S5, S3. 1Q27E = segment SG&amp;A + ChronoScale + corporate core + SBC + one-off items</t>
  </si>
  <si>
    <t>SG&amp;A % of revenue</t>
  </si>
  <si>
    <t>Loss on held-for-sale classification</t>
  </si>
  <si>
    <t>3Q26 Cloud write-down (S5)</t>
  </si>
  <si>
    <t>Total costs and expenses</t>
  </si>
  <si>
    <t>Operating income (loss)</t>
  </si>
  <si>
    <t>Operating margin</t>
  </si>
  <si>
    <t>Interest expense (income), net</t>
  </si>
  <si>
    <t>S5, S3. 1Q27E from interest build below</t>
  </si>
  <si>
    <t>FV gain on derivatives</t>
  </si>
  <si>
    <t>B&amp;W warrant and MAM preferred derivatives (S3). 1Q27E: not forecast (market-driven; excluded from adjusted EPS)</t>
  </si>
  <si>
    <t>FV gain on investments</t>
  </si>
  <si>
    <t>S7, S5, S3. 1Q27E: not forecast</t>
  </si>
  <si>
    <t>FV loss on warrants</t>
  </si>
  <si>
    <t>Pre-tax loss, continuing ops</t>
  </si>
  <si>
    <t>Income tax expense (benefit)</t>
  </si>
  <si>
    <t>S9, S7, S5, S3. 1Q27E assumption (state/minimum taxes)</t>
  </si>
  <si>
    <t>Net loss, continuing operations</t>
  </si>
  <si>
    <t>Net loss, discontinued ops (Ekso)</t>
  </si>
  <si>
    <t>S3. 1Q27E = 4Q26 run-rate pending Ekso divestiture</t>
  </si>
  <si>
    <t>Net loss</t>
  </si>
  <si>
    <t>NCI and redeemable NCI allocation</t>
  </si>
  <si>
    <t>Allocation to Macquarie preferred (APLD HPC TopCo) and ChronoScale minority; reduces income to common (S7, S5, S3)</t>
  </si>
  <si>
    <t>Preferred dividends</t>
  </si>
  <si>
    <t>S9, S7, S5, S3</t>
  </si>
  <si>
    <t>Net loss to common stockholders</t>
  </si>
  <si>
    <t xml:space="preserve">  of which continuing operations</t>
  </si>
  <si>
    <t>Net margin (to common)</t>
  </si>
  <si>
    <t>Basic = diluted shares (GAAP)</t>
  </si>
  <si>
    <t>Linked from Share Count (loss-making: basic = diluted)</t>
  </si>
  <si>
    <t>Diluted shares (non-GAAP)</t>
  </si>
  <si>
    <t>Linked from Share Count</t>
  </si>
  <si>
    <t>GAAP diluted EPS - continuing</t>
  </si>
  <si>
    <t>GAAP diluted EPS - total</t>
  </si>
  <si>
    <t xml:space="preserve">  GAAP EPS as reported (total)</t>
  </si>
  <si>
    <t>1Q26/2Q26 total incl. Cloud disc. ops = recast continuing basis (S9, S7); S5, S3</t>
  </si>
  <si>
    <t xml:space="preserve">  CapIQ GAAP EPS actual (Inputs)</t>
  </si>
  <si>
    <t>S2</t>
  </si>
  <si>
    <t xml:space="preserve">    Check: GAAP EPS vs reported</t>
  </si>
  <si>
    <t>GAAP to non-GAAP bridge - consensus (normalized) basis ($m)</t>
  </si>
  <si>
    <t>Net loss, continuing ops (GAAP)</t>
  </si>
  <si>
    <t xml:space="preserve">  Add: ChronoScale operating loss</t>
  </si>
  <si>
    <t>1Q26-2Q26 derived from Cloud discontinued-ops detail; S5, S3</t>
  </si>
  <si>
    <t xml:space="preserve">  Add: ChronoScale interest</t>
  </si>
  <si>
    <t>S5, S3; 1Q27E = 4Q26</t>
  </si>
  <si>
    <t xml:space="preserve">  Add: Stock-based compensation</t>
  </si>
  <si>
    <t>S9, S7, S5, S3. 4Q26 incl. $47.9m one-time ChronoScale awards and $65.1m PSUs (S11). 1Q27E assumption $50m</t>
  </si>
  <si>
    <t xml:space="preserve">  Add: Non-recurring repair expenses</t>
  </si>
  <si>
    <t xml:space="preserve">  Add: Diligence &amp; integration</t>
  </si>
  <si>
    <t>1Q27E assumption ~$6.5m (rounded 3Q26-4Q26 average of $6.6m)</t>
  </si>
  <si>
    <t xml:space="preserve">  Add: Litigation expenses</t>
  </si>
  <si>
    <t xml:space="preserve">  Add: Loss on abandonment of assets</t>
  </si>
  <si>
    <t xml:space="preserve">  Add: Restructuring expenses</t>
  </si>
  <si>
    <t xml:space="preserve">  Add: Other non-recurring expenses</t>
  </si>
  <si>
    <t xml:space="preserve">  Less: FV gain on derivatives</t>
  </si>
  <si>
    <t xml:space="preserve">  Less: FV gain on investments</t>
  </si>
  <si>
    <t xml:space="preserve">  Add: FV loss on warrants</t>
  </si>
  <si>
    <t>Adj. net income pre-convert</t>
  </si>
  <si>
    <t xml:space="preserve">  Add: Convertible interest</t>
  </si>
  <si>
    <t>S5 footnote 7</t>
  </si>
  <si>
    <t>Adjusted net income (cons. basis)</t>
  </si>
  <si>
    <t xml:space="preserve">  Adjusted net income as reported</t>
  </si>
  <si>
    <t>FY26: convert add-back excluded because the FY diluted count excludes convert shares (Share Count!G25 = 0). Remaining -$0.555m = company FY-level recast of items (S3); explained residual (assumption), not an independent check</t>
  </si>
  <si>
    <t>Adjusted net margin</t>
  </si>
  <si>
    <t>Adjusted (normalized) diluted EPS</t>
  </si>
  <si>
    <t xml:space="preserve">  Adjusted EPS as reported</t>
  </si>
  <si>
    <t xml:space="preserve">  CapIQ normalized EPS actual</t>
  </si>
  <si>
    <t>S2 - equals company adjusted EPS in every period</t>
  </si>
  <si>
    <t xml:space="preserve">    Model (rounded) less CapIQ actual</t>
  </si>
  <si>
    <t xml:space="preserve">  CapIQ normalized EPS consensus</t>
  </si>
  <si>
    <t xml:space="preserve">  Surprise vs consensus ($ per share)</t>
  </si>
  <si>
    <t>Memo: EPS identity (0)</t>
  </si>
  <si>
    <t>Row 82 is defined as row 76 / row 53, so this row is an arithmetic identity, not an independent check; excluded from Cover C30</t>
  </si>
  <si>
    <t>Adjusted operating income</t>
  </si>
  <si>
    <t xml:space="preserve">  Adj. operating income as reported</t>
  </si>
  <si>
    <t>Adjusted operating margin</t>
  </si>
  <si>
    <t>Corporate cost (ex-SBC, one-offs)</t>
  </si>
  <si>
    <t>History derived; 1Q27E = average of 3Q26-4Q26 (assumption)</t>
  </si>
  <si>
    <t>1Q27E assumptions - ChronoScale, interest and other ($m)</t>
  </si>
  <si>
    <t>ChronoScale cost of revenue</t>
  </si>
  <si>
    <t>Assumption: 3Q26 Cloud cost of revenue $6.3m (S6) + ~$15.7m quarterly D&amp;A resumed after held-for-sale ended (4Q26 consolidated D&amp;A less non-GAAP D&amp;A, S4/S3)</t>
  </si>
  <si>
    <t>ChronoScale operating loss</t>
  </si>
  <si>
    <t>Assumption: equal to 4Q26 (S3)</t>
  </si>
  <si>
    <t>ChronoScale SG&amp;A (derived)</t>
  </si>
  <si>
    <t>4Q26 net interest expense ex-ChronoScale</t>
  </si>
  <si>
    <t xml:space="preserve">  $1.59bn 7.000% notes - principal</t>
  </si>
  <si>
    <t>Issued 16-Jun-26 at par (S4 subsequent events)</t>
  </si>
  <si>
    <t xml:space="preserve">  7.000% notes - coupon</t>
  </si>
  <si>
    <t xml:space="preserve">  7.000% notes - days outstanding in 1Q27</t>
  </si>
  <si>
    <t xml:space="preserve">  Add: Interest on 7.000% notes</t>
  </si>
  <si>
    <t xml:space="preserve">  $2.15bn 6.750% notes - principal</t>
  </si>
  <si>
    <t>S4 debt table</t>
  </si>
  <si>
    <t xml:space="preserve">  6.750% notes - coupon</t>
  </si>
  <si>
    <t xml:space="preserve">  Add: 6.750% notes full-quarter catch-up</t>
  </si>
  <si>
    <t xml:space="preserve">  6.750% notes - days not outstanding in 4Q26</t>
  </si>
  <si>
    <t>Assumption: notes closed ~10-Mar-26 (offering completed after 28-Feb-26, S5)</t>
  </si>
  <si>
    <t xml:space="preserve">  Less: Bridge facility repaid 16-Jun-26</t>
  </si>
  <si>
    <t>Assumption: $300m bridge (S3) outstanding ~15 days in 1Q27 vs longer in 4Q26</t>
  </si>
  <si>
    <t xml:space="preserve">  Increase in average cash balance</t>
  </si>
  <si>
    <t>Assumption: avg cash ~$4.4bn vs ~$3.1bn in 4Q26 after $1.59bn notes, $150m Series G, ~$600m capex</t>
  </si>
  <si>
    <t xml:space="preserve">  Yield on cash</t>
  </si>
  <si>
    <t>FY26 interest income $55.7m (S4 R69) on rising balances</t>
  </si>
  <si>
    <t xml:space="preserve">  Less: Incremental interest income</t>
  </si>
  <si>
    <t xml:space="preserve">  Less: Incremental capitalised interest</t>
  </si>
  <si>
    <t>Assumption: PF1 Bldg 3/4, PF2 construction up; Bldg 2 Phase 1 leaves CIP. FY26 capitalised $39.6m (S4 R69)</t>
  </si>
  <si>
    <t>Net interest expense ex-ChronoScale, 1Q27E</t>
  </si>
  <si>
    <t>Judgment retained. Excludes any incremental issuance-cost amortisation on the 7% notes (CF H14 adds back 9.0 total; 4Q26 amortisation in the 9.501 base not disclosed). If 25.0 costs amortise over ~5 years: ~1.0m extra (~-$0.003/share). Unresolved</t>
  </si>
  <si>
    <t>Annualised NCI allocation rate on redeemable NCI</t>
  </si>
  <si>
    <t>4Q26 implied rate applied to the opening 1Q27 balance (no new MAM draws assumed)</t>
  </si>
  <si>
    <t>Check: adjusted NI = adj. op. income - core interest - tax (1Q27E)</t>
  </si>
  <si>
    <t>Recast of 1Q26-2Q26 (Cloud reported as discontinued ops, now continuing) ($m)</t>
  </si>
  <si>
    <t xml:space="preserve">  Revenue - as originally reported</t>
  </si>
  <si>
    <t>S9, S7, S5, S3 (3Q26/4Q26 already include ChronoScale)</t>
  </si>
  <si>
    <t xml:space="preserve">  Revenue - Cloud (discontinued ops)</t>
  </si>
  <si>
    <t>S10 R47, S8 R50; nil after recast (3Q26/4Q26)</t>
  </si>
  <si>
    <t xml:space="preserve">  Cost of revenue - original</t>
  </si>
  <si>
    <t>S9, S7</t>
  </si>
  <si>
    <t xml:space="preserve">  Cost of revenue - Cloud</t>
  </si>
  <si>
    <t>S10 R47, S8 R50</t>
  </si>
  <si>
    <t xml:space="preserve">  SG&amp;A - as originally reported</t>
  </si>
  <si>
    <t xml:space="preserve">  SG&amp;A - Cloud</t>
  </si>
  <si>
    <t xml:space="preserve">  Abandonment loss - original</t>
  </si>
  <si>
    <t xml:space="preserve">  Loss on abandonment - Cloud</t>
  </si>
  <si>
    <t xml:space="preserve">  Interest expense - original</t>
  </si>
  <si>
    <t xml:space="preserve">  Interest expense - Cloud</t>
  </si>
  <si>
    <t xml:space="preserve">  Net loss cont. ops - original</t>
  </si>
  <si>
    <t xml:space="preserve">  Disc. ops income (Cloud)</t>
  </si>
  <si>
    <t>Check: recast net loss (0)</t>
  </si>
  <si>
    <t xml:space="preserve">  FY26 per 10-K: total revenue</t>
  </si>
  <si>
    <t>S3/S4</t>
  </si>
  <si>
    <t xml:space="preserve">  FY26 per 10-K: net loss</t>
  </si>
  <si>
    <t>Linked from reported FY cash flow (S3)</t>
  </si>
  <si>
    <t xml:space="preserve">  FY26 per 10-K: net loss attributable to common</t>
  </si>
  <si>
    <t>Difference of $0.24m: quarterly NCI allocations were revised within the year (9M -31.910 vs 2Q+3Q -31.808; FY -59.665)</t>
  </si>
  <si>
    <t>Balance Sheet</t>
  </si>
  <si>
    <t>Assets ($m)</t>
  </si>
  <si>
    <t xml:space="preserve">  Cash and cash equivalents</t>
  </si>
  <si>
    <t>S10, S8, S6, S3</t>
  </si>
  <si>
    <t xml:space="preserve">  Restricted cash (current)</t>
  </si>
  <si>
    <t>Aug-25: funds for construction 2.851 + letters of credit 37.342 (S10)</t>
  </si>
  <si>
    <t xml:space="preserve">  Accounts receivable</t>
  </si>
  <si>
    <t xml:space="preserve">  Prepaid &amp; other current assets</t>
  </si>
  <si>
    <t>May-26 incl. $500.3m equipment deposit (S4 R73)</t>
  </si>
  <si>
    <t xml:space="preserve">  Current assets held for sale</t>
  </si>
  <si>
    <t>Aug/Nov-25: Cloud; May-26: Ekso (S10, S8, S3)</t>
  </si>
  <si>
    <t>Total current assets</t>
  </si>
  <si>
    <t xml:space="preserve">  Property and equipment, net</t>
  </si>
  <si>
    <t>1Q27E = prior + capex - D&amp;A</t>
  </si>
  <si>
    <t xml:space="preserve">  Operating lease right-of-use assets</t>
  </si>
  <si>
    <t xml:space="preserve">  Finance lease right-of-use assets</t>
  </si>
  <si>
    <t xml:space="preserve">  Other assets</t>
  </si>
  <si>
    <t>Includes non-current restricted cash (memo below)</t>
  </si>
  <si>
    <t>Total assets</t>
  </si>
  <si>
    <t xml:space="preserve">    Total assets as reported</t>
  </si>
  <si>
    <t xml:space="preserve">    Memo: non-current restricted cash</t>
  </si>
  <si>
    <t>Cash reconciliation tables: S8 R44, S6 R43, S4 R73; Aug-25 none (S10 cash flow reconciliation)</t>
  </si>
  <si>
    <t>Liabilities ($m)</t>
  </si>
  <si>
    <t xml:space="preserve">  Accounts payable</t>
  </si>
  <si>
    <t xml:space="preserve">  Accrued liabilities</t>
  </si>
  <si>
    <t xml:space="preserve">  Operating lease liability, current</t>
  </si>
  <si>
    <t xml:space="preserve">  Finance lease liability, current</t>
  </si>
  <si>
    <t xml:space="preserve">  Current portion of debt</t>
  </si>
  <si>
    <t xml:space="preserve">  Customer deposits</t>
  </si>
  <si>
    <t xml:space="preserve">  Deferred revenue</t>
  </si>
  <si>
    <t xml:space="preserve">  Due to customer</t>
  </si>
  <si>
    <t xml:space="preserve">  Current liabilities held for sale</t>
  </si>
  <si>
    <t xml:space="preserve">  Other current liabilities</t>
  </si>
  <si>
    <t>Total current liabilities</t>
  </si>
  <si>
    <t xml:space="preserve">  Long-term operating lease liability</t>
  </si>
  <si>
    <t xml:space="preserve">  Long-term finance lease liability</t>
  </si>
  <si>
    <t xml:space="preserve">  Long-term debt</t>
  </si>
  <si>
    <t>1Q27E = prior + borrowings - repayments - issuance costs + amortisation of issuance costs</t>
  </si>
  <si>
    <t xml:space="preserve">  Other long-term liabilities</t>
  </si>
  <si>
    <t>Total liabilities</t>
  </si>
  <si>
    <t>Temporary equity ($m)</t>
  </si>
  <si>
    <t xml:space="preserve">  Series E preferred stock</t>
  </si>
  <si>
    <t xml:space="preserve">  Series E-1 preferred stock</t>
  </si>
  <si>
    <t xml:space="preserve">  Series G preferred stock</t>
  </si>
  <si>
    <t xml:space="preserve">  Redeemable noncontrolling interest</t>
  </si>
  <si>
    <t>Macquarie preferred equity in APLD HPC TopCo (S3). 1Q27E = prior + NCI allocation; no new draws assumed</t>
  </si>
  <si>
    <t>Total temporary equity</t>
  </si>
  <si>
    <t>Stockholders' equity ($m)</t>
  </si>
  <si>
    <t xml:space="preserve">  Common stock (par)</t>
  </si>
  <si>
    <t xml:space="preserve">  Treasury stock</t>
  </si>
  <si>
    <t xml:space="preserve">  Additional paid-in capital</t>
  </si>
  <si>
    <t>1Q27E = prior + SBC + Series G converted to common</t>
  </si>
  <si>
    <t xml:space="preserve">  Accumulated deficit</t>
  </si>
  <si>
    <t>1Q27E = prior + IS H47 (incl. NCI allocation and preferred dividends). Historical deficit changes track net loss before NCI (D-F, FY -181.3 vs net loss -184.3), so these may be charged to APIC; equity statement not in preserved evidence. Unresolved; total equity, BS check and EPS unaffected</t>
  </si>
  <si>
    <t>Equity attributable to APLD</t>
  </si>
  <si>
    <t xml:space="preserve">  Noncontrolling interest (equity)</t>
  </si>
  <si>
    <t>Total stockholders' equity</t>
  </si>
  <si>
    <t>Total liabilities &amp; equity</t>
  </si>
  <si>
    <t>Check: A - L - temp. eq. - E (0)</t>
  </si>
  <si>
    <t>1Q27E balance sheet assumptions ($m)</t>
  </si>
  <si>
    <t>6.750% notes issue price (% of par)</t>
  </si>
  <si>
    <t>Escrow released 18-Jun-26 ($m)</t>
  </si>
  <si>
    <t>Escrow release condition satisfied 18-Jun-26 (S4 subsequent events, S11)</t>
  </si>
  <si>
    <t>Series G shares issued Jun-26 (#)</t>
  </si>
  <si>
    <t>S4 subsequent events</t>
  </si>
  <si>
    <t>Series G shares unconverted (#)</t>
  </si>
  <si>
    <t>Series G outstanding at quarter end ($m)</t>
  </si>
  <si>
    <t>Assumes no further conversion before 31-Aug-26</t>
  </si>
  <si>
    <t>Net debt</t>
  </si>
  <si>
    <t>Debt / total assets</t>
  </si>
  <si>
    <t>Cash Flow Statement</t>
  </si>
  <si>
    <t>Operating activities ($m)</t>
  </si>
  <si>
    <t xml:space="preserve">  Net loss</t>
  </si>
  <si>
    <t>Quarterly = YTD difference (YTD block below)</t>
  </si>
  <si>
    <t xml:space="preserve">  Depreciation and amortisation</t>
  </si>
  <si>
    <t xml:space="preserve">  Stock-based compensation</t>
  </si>
  <si>
    <t xml:space="preserve">  Other non-cash items (derived)</t>
  </si>
  <si>
    <t>Lease expense, debt-cost amortisation, held-for-sale loss, fair-value items. 1Q27E = debt-cost amortisation</t>
  </si>
  <si>
    <t xml:space="preserve">  Change in working capital</t>
  </si>
  <si>
    <t>1Q27E assumption: nil</t>
  </si>
  <si>
    <t>Cash from operations</t>
  </si>
  <si>
    <t>Investing activities ($m)</t>
  </si>
  <si>
    <t xml:space="preserve">  Capital expenditure</t>
  </si>
  <si>
    <t>1Q27E: linked to Guidance (CFO guided ~$600m for the quarter, S11)</t>
  </si>
  <si>
    <t xml:space="preserve">  Other investing (derived)</t>
  </si>
  <si>
    <t>Cash from investing</t>
  </si>
  <si>
    <t>Financing activities ($m)</t>
  </si>
  <si>
    <t xml:space="preserve">  Borrowings of long-term debt</t>
  </si>
  <si>
    <t>1Q27E: $1.59bn 7.000% notes + $58.5m Texas Capital note (S4 subsequent events)</t>
  </si>
  <si>
    <t xml:space="preserve">  Repayments of long-term debt</t>
  </si>
  <si>
    <t>1Q27E: $300m bridge + $13.3m Cloud SAFE payoff (S4 subsequent events)</t>
  </si>
  <si>
    <t xml:space="preserve">  Repayment of finance leases</t>
  </si>
  <si>
    <t>1Q27E = 4Q26 level</t>
  </si>
  <si>
    <t xml:space="preserve">  Payment of deferred financing costs</t>
  </si>
  <si>
    <t>1Q27E assumption ~1.6% of new notes</t>
  </si>
  <si>
    <t xml:space="preserve">  Common stock issued</t>
  </si>
  <si>
    <t xml:space="preserve">  Common stock issuance costs</t>
  </si>
  <si>
    <t xml:space="preserve">  Preferred stock issued</t>
  </si>
  <si>
    <t>1Q27E: Series G $150m issued 17/22-Jun-26 (S4)</t>
  </si>
  <si>
    <t xml:space="preserve">  Preferred stock issuance costs</t>
  </si>
  <si>
    <t xml:space="preserve">  Redeemable NCI contributions</t>
  </si>
  <si>
    <t>1Q27E: no draw disclosed before the cutoff</t>
  </si>
  <si>
    <t xml:space="preserve">  Redeemable NCI issuance costs</t>
  </si>
  <si>
    <t xml:space="preserve">  Other financing (derived)</t>
  </si>
  <si>
    <t>Dividends, RSU tax withholding, warrants, redemptions. 1Q27E = preferred dividends</t>
  </si>
  <si>
    <t>Cash from financing</t>
  </si>
  <si>
    <t>Net change in cash</t>
  </si>
  <si>
    <t>Beginning cash (incl. disc. ops)</t>
  </si>
  <si>
    <t>S10</t>
  </si>
  <si>
    <t>Ending cash (incl. disc. ops)</t>
  </si>
  <si>
    <t xml:space="preserve">  Less: disc. ops cash</t>
  </si>
  <si>
    <t>Ending cash - continuing</t>
  </si>
  <si>
    <t>BS cash + restricted cash</t>
  </si>
  <si>
    <t>Check: cash ties to BS (0)</t>
  </si>
  <si>
    <t>Check: quarters vs YTD (0)</t>
  </si>
  <si>
    <t>Free cash flow (CFO + capex)</t>
  </si>
  <si>
    <t>1Q27E cash flow assumptions ($m)</t>
  </si>
  <si>
    <t>Corporate D&amp;A</t>
  </si>
  <si>
    <t>3Q26 corporate D&amp;A $0.7m (S6 R79)</t>
  </si>
  <si>
    <t>ChronoScale D&amp;A</t>
  </si>
  <si>
    <t>4Q26 consolidated D&amp;A less non-GAAP D&amp;A (S4, S3)</t>
  </si>
  <si>
    <t>Amortisation of debt issuance costs and discount</t>
  </si>
  <si>
    <t>Assumption on ~$6.2bn of notes amortising over ~5 years</t>
  </si>
  <si>
    <t>Texas Capital note drawn 30-Jun-26</t>
  </si>
  <si>
    <t>Reported year-to-date cash flows (C = 3M Aug-25, D = 6M Nov-25, E = 9M Feb-26, F = FY May-26)</t>
  </si>
  <si>
    <t xml:space="preserve">  Lease assets and liabilities</t>
  </si>
  <si>
    <t>Change in working capital</t>
  </si>
  <si>
    <t xml:space="preserve">  Cash from operations</t>
  </si>
  <si>
    <t xml:space="preserve">  Cash from investing</t>
  </si>
  <si>
    <t xml:space="preserve">  Cash from financing</t>
  </si>
  <si>
    <t xml:space="preserve">  Net change in cash (reported)</t>
  </si>
  <si>
    <t>Share Count</t>
  </si>
  <si>
    <t>Millions of shares; $ millions where stated</t>
  </si>
  <si>
    <t>Shares outstanding (millions)</t>
  </si>
  <si>
    <t>Shares outstanding, period end</t>
  </si>
  <si>
    <t>Balance sheet share data (S10, S8, S6, S3)</t>
  </si>
  <si>
    <t xml:space="preserve">  Series G conversions (m)</t>
  </si>
  <si>
    <t>81,346 Series G shares issued Jun-26 converted into 1,787,825 common shares (S4 subsequent events). Earlier conversions disclosed in $ only (below)</t>
  </si>
  <si>
    <t xml:space="preserve">  RSU/PSU vesting &amp; other (m)</t>
  </si>
  <si>
    <t>Assumption</t>
  </si>
  <si>
    <t>Treasury shares (period end)</t>
  </si>
  <si>
    <t>Weighted average basic shares</t>
  </si>
  <si>
    <t>S9, S7, S5, S3 (FY 275.195m, S3). 1Q27E = average of opening and closing shares</t>
  </si>
  <si>
    <t>S9, S7, S5, S3. F18 222,454,578 = S3 prior-year column (3 months to 31-May-25); E18 is the same figure in S5. FY25 day-weighting implies ~224.2m for 4Q25, but the issuer value is retained (not inferred). Unresolved issuer inconsistency; no 1Q27E EPS impact</t>
  </si>
  <si>
    <t>Diluted shares for adjusted (normalized) EPS (millions)</t>
  </si>
  <si>
    <t>Diluted shares (non-GAAP), reported</t>
  </si>
  <si>
    <t>1Q26 loss: basic (S9); 2Q26 not disclosed (S7); 3Q26 incl. 46.1m convert shares (S5); 4Q26, FY26 (S3)</t>
  </si>
  <si>
    <t>Convert if-converted shares</t>
  </si>
  <si>
    <t>$450m 2.75% notes due 2030: 46,144,395 shares (S5 footnote 8)</t>
  </si>
  <si>
    <t>Convertible shares included</t>
  </si>
  <si>
    <t>Included only when dilutive (S5 footnote 7)</t>
  </si>
  <si>
    <t>Other dilutive securities</t>
  </si>
  <si>
    <t>History derived. 1Q27E assumption 42m: below 4Q26 44.6m as the lower share price (~$25-30 vs ~$35-50 in 4Q26) reduces treasury-method dilution</t>
  </si>
  <si>
    <t>Convertible interest add-back</t>
  </si>
  <si>
    <t xml:space="preserve">  Convertible notes principal ($m)</t>
  </si>
  <si>
    <t>S4 Note 9 debt table</t>
  </si>
  <si>
    <t xml:space="preserve">  Convertible coupon</t>
  </si>
  <si>
    <t>S4</t>
  </si>
  <si>
    <t>Convertible dilutive? (1 = yes)</t>
  </si>
  <si>
    <t>If-converted test: add-back per share vs EPS before conversion</t>
  </si>
  <si>
    <t>Diluted shares for adjusted EPS</t>
  </si>
  <si>
    <t>2Q26: basic used (diluted count not disclosed; adjusted EPS $0.00)</t>
  </si>
  <si>
    <t>FY25 periods were loss-making: basic = diluted (S9, S7, S5, S3)</t>
  </si>
  <si>
    <t>Shares behind 1Q27E EPS</t>
  </si>
  <si>
    <t>Issuance and buybacks ($m)</t>
  </si>
  <si>
    <t>Share repurchases</t>
  </si>
  <si>
    <t>No repurchases in FY26 (S3 cash flow); none announced</t>
  </si>
  <si>
    <t>Common stock issued (gross)</t>
  </si>
  <si>
    <t>Linked from Cash Flow Statement</t>
  </si>
  <si>
    <t>Preferred stock issued (gross)</t>
  </si>
  <si>
    <t>Series G under PEPA (commitment raised to $2.0bn, S4)</t>
  </si>
  <si>
    <t xml:space="preserve">  Preferred converted, YTD</t>
  </si>
  <si>
    <t>Supplemental non-cash disclosure (S10, S8, S6, S3)</t>
  </si>
  <si>
    <t>Preferred converted, quarter</t>
  </si>
  <si>
    <t>Market capitalisation at the cutoff</t>
  </si>
  <si>
    <t>Last close 2-Oct-26 ($)</t>
  </si>
  <si>
    <t>CapIQ last_close_price (S1); matches S17 close 2-Oct-26</t>
  </si>
  <si>
    <t>Market capitalisation ($m)</t>
  </si>
  <si>
    <t>~$7.4bn; S17 reports $7.40bn (Nasdaq data, 2-Oct-26). Uses modelled 31-Aug-26 shares (H11, incl. 2.0m RSU assumption); last reported 287.884m gives $7,306.5m. Mid-cap ($2-10bn) either way; not an S&amp;P 500 member (S1 sp500_member = N)</t>
  </si>
  <si>
    <t>Guidance</t>
  </si>
  <si>
    <t>Guidance item</t>
  </si>
  <si>
    <t>Date given</t>
  </si>
  <si>
    <t>Low</t>
  </si>
  <si>
    <t>High</t>
  </si>
  <si>
    <t>Midpoint</t>
  </si>
  <si>
    <t>Actual</t>
  </si>
  <si>
    <t>Beat / miss</t>
  </si>
  <si>
    <t>Revenue guidance</t>
  </si>
  <si>
    <t>FY27</t>
  </si>
  <si>
    <t>Not provided</t>
  </si>
  <si>
    <t>Company does not issue revenue guidance (S3, S11)</t>
  </si>
  <si>
    <t>EPS / adjusted EPS guidance</t>
  </si>
  <si>
    <t>Not provided (S3, S11); Cover guidance midpoint shown as n/a</t>
  </si>
  <si>
    <t>Capex, next quarter ($m)</t>
  </si>
  <si>
    <t>2026-07-27</t>
  </si>
  <si>
    <t>1Q27</t>
  </si>
  <si>
    <t>Pending (7-Oct-26)</t>
  </si>
  <si>
    <t>"~$600 million-ish for the upcoming quarter" - CFO, 4Q26 call (S11)</t>
  </si>
  <si>
    <t>PF1 Bldg 1 (100 MW) RFS</t>
  </si>
  <si>
    <t>2025-10-09</t>
  </si>
  <si>
    <t>2Q26</t>
  </si>
  <si>
    <t>Met (Oct/Nov-25)</t>
  </si>
  <si>
    <t>Guided calendar 4Q25 (S9); delivered on schedule (S7, S3)</t>
  </si>
  <si>
    <t>PF1 Bldg 2 Ph.1 (75 MW) RFS</t>
  </si>
  <si>
    <t>2026-04-08</t>
  </si>
  <si>
    <t>Met (30-Jun-26)</t>
  </si>
  <si>
    <t>Guided RFS 1-Jul-26 on 3Q26 call (S20); delivered 30-Jun-26 (S12)</t>
  </si>
  <si>
    <t>PF1 Bldg 2 (150 MW) online</t>
  </si>
  <si>
    <t>CY26</t>
  </si>
  <si>
    <t>Met (2-Oct-26)</t>
  </si>
  <si>
    <t>Guided calendar 2026 (S5); Phase 2 delivered 2-Oct-26 (S13)</t>
  </si>
  <si>
    <t>PF2 (200 MW) initial capacity</t>
  </si>
  <si>
    <t>2026-07-29</t>
  </si>
  <si>
    <t>CY2H26</t>
  </si>
  <si>
    <t>Pending</t>
  </si>
  <si>
    <t>Guided 2H calendar 2026 (S4); B. Riley site visit: first hall 4Q CY26 (S16)</t>
  </si>
  <si>
    <t>NOI run-rate target ($m)</t>
  </si>
  <si>
    <t>by ~Jul-27</t>
  </si>
  <si>
    <t>$1bn annualised NOI run-rate "a year from now" (S11)</t>
  </si>
  <si>
    <t>NOI run-rate, PF1 full ($m)</t>
  </si>
  <si>
    <t>PF1 400 MW</t>
  </si>
  <si>
    <t>~$500m annualised NOI once PF1 fully operational (S9); PF1 at 250 MW (S13)</t>
  </si>
  <si>
    <t>Guidance track record</t>
  </si>
  <si>
    <t>No numeric revenue/EPS guidance in the last 8 quarters, so no P&amp;L beat/miss history; every dated delivery milestone above was met.</t>
  </si>
  <si>
    <t>Inputs (S&amp;P Capital IQ raw data and beat-probability calibration)</t>
  </si>
  <si>
    <t>APLD_history.csv - six historical rows (raw, unchanged; B = period_end_date ... I = revenue_m_actual)</t>
  </si>
  <si>
    <t>period end date</t>
  </si>
  <si>
    <t>report date</t>
  </si>
  <si>
    <t>eps normalized consensus</t>
  </si>
  <si>
    <t>eps normalized actual</t>
  </si>
  <si>
    <t>eps gaap consensus</t>
  </si>
  <si>
    <t>eps gaap actual</t>
  </si>
  <si>
    <t>revenue m consensus</t>
  </si>
  <si>
    <t>revenue m actual</t>
  </si>
  <si>
    <t>Raw CSV header names shown with underscores replaced by spaces for display; data values in rows 12-17 are unchanged</t>
  </si>
  <si>
    <t>2025-02-28</t>
  </si>
  <si>
    <t>2025-04-14</t>
  </si>
  <si>
    <t>2025-05-31</t>
  </si>
  <si>
    <t>2025-07-30</t>
  </si>
  <si>
    <t>2025-08-31</t>
  </si>
  <si>
    <t>2025-11-30</t>
  </si>
  <si>
    <t>2026-01-07</t>
  </si>
  <si>
    <t>2026-02-28</t>
  </si>
  <si>
    <t>2026-05-31</t>
  </si>
  <si>
    <t>APLD_consensus.json - top-level fields (raw)</t>
  </si>
  <si>
    <t>source</t>
  </si>
  <si>
    <t>S&amp;P Capital IQ</t>
  </si>
  <si>
    <t>S1</t>
  </si>
  <si>
    <t>ticker</t>
  </si>
  <si>
    <t>APLD</t>
  </si>
  <si>
    <t>company</t>
  </si>
  <si>
    <t>fiscal_period</t>
  </si>
  <si>
    <t>Q1 FY2027</t>
  </si>
  <si>
    <t>period_end_date</t>
  </si>
  <si>
    <t>2026-08-31</t>
  </si>
  <si>
    <t>as_of_date</t>
  </si>
  <si>
    <t>2026-10-04</t>
  </si>
  <si>
    <t>analyst_count</t>
  </si>
  <si>
    <t>consensus_eps</t>
  </si>
  <si>
    <t>eps_basis</t>
  </si>
  <si>
    <t>Normalized diluted EPS per common share, USD; verify issuer adjustments</t>
  </si>
  <si>
    <t>consensus_revenue_m</t>
  </si>
  <si>
    <t>currency</t>
  </si>
  <si>
    <t>summary_sha256</t>
  </si>
  <si>
    <t>dcd0ceefcbfabc05b4b93dc4d870480edb653ec275c18d538b8e064442f96004</t>
  </si>
  <si>
    <t>S1. Supplier-provided summary_sha256 field inside APLD_consensus.json (covers the summary_row object; serialisation undocumented, not reproduced). Not the file hash: file SHA256 be47949b...a75 is in Sources L11</t>
  </si>
  <si>
    <t>captured_precision</t>
  </si>
  <si>
    <t>date only, user confirmed</t>
  </si>
  <si>
    <t>currency_units_status</t>
  </si>
  <si>
    <t>USD per common share inferred; verify filings</t>
  </si>
  <si>
    <t>APLD_consensus.json - full raw summary_row (missing values left blank; target-price fields not used - malformed ranges)</t>
  </si>
  <si>
    <t>company_name</t>
  </si>
  <si>
    <t>exchange_ticker</t>
  </si>
  <si>
    <t>NasdaqGS:APLD</t>
  </si>
  <si>
    <t>capiq_company_id</t>
  </si>
  <si>
    <t>3563673</t>
  </si>
  <si>
    <t>sp500_member</t>
  </si>
  <si>
    <t>N</t>
  </si>
  <si>
    <t>market_cap_usd_m</t>
  </si>
  <si>
    <t>fiscal_quarter</t>
  </si>
  <si>
    <t>FQ1 2027 - Aug 2026</t>
  </si>
  <si>
    <t>quarter_end_date</t>
  </si>
  <si>
    <t>expected_report_date</t>
  </si>
  <si>
    <t>2026-10-09</t>
  </si>
  <si>
    <t>fiscal_year_end</t>
  </si>
  <si>
    <t>May-31</t>
  </si>
  <si>
    <t>analysts_covering</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</si>
  <si>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</si>
  <si>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</si>
  <si>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</si>
  <si>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</si>
  <si>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</si>
  <si>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</si>
  <si>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</si>
  <si>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</si>
  <si>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</si>
  <si>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</si>
  <si>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</si>
  <si>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</si>
  <si>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</si>
  <si>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</si>
  <si>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</si>
  <si>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</si>
  <si>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revenue_m_mean</t>
  </si>
  <si>
    <t>revenue_m_median</t>
  </si>
  <si>
    <t>revenue_m_high</t>
  </si>
  <si>
    <t>revenue_m_low</t>
  </si>
  <si>
    <t>revenue_m_std_dev</t>
  </si>
  <si>
    <t>revenue_m_n_est</t>
  </si>
  <si>
    <t>revenue_m_guidance</t>
  </si>
  <si>
    <t>revenue_m_guidance_low</t>
  </si>
  <si>
    <t>revenue_m_guidance_high</t>
  </si>
  <si>
    <t>ebitda_m</t>
  </si>
  <si>
    <t>ebit_m</t>
  </si>
  <si>
    <t>ebt_excl_excep_m</t>
  </si>
  <si>
    <t>ebt_gaap_m</t>
  </si>
  <si>
    <t>net_income_excl_excep_m</t>
  </si>
  <si>
    <t>net_income_gaap_m</t>
  </si>
  <si>
    <t>gross_margin_pct</t>
  </si>
  <si>
    <t>effective_tax_rate_pct</t>
  </si>
  <si>
    <t>d_and_a_m</t>
  </si>
  <si>
    <t>capex_m</t>
  </si>
  <si>
    <t>cfo_m</t>
  </si>
  <si>
    <t>fcf_m</t>
  </si>
  <si>
    <t>interest_expense_m</t>
  </si>
  <si>
    <t>net_debt_m</t>
  </si>
  <si>
    <t>cfps</t>
  </si>
  <si>
    <t>bvps</t>
  </si>
  <si>
    <t>dps</t>
  </si>
  <si>
    <t>nav_m</t>
  </si>
  <si>
    <t>navps</t>
  </si>
  <si>
    <t>roe_pct</t>
  </si>
  <si>
    <t>adj_nii_per_share_consensus</t>
  </si>
  <si>
    <t>target_price_mean</t>
  </si>
  <si>
    <t>Not used: malformed target-price ranges</t>
  </si>
  <si>
    <t>target_price_median</t>
  </si>
  <si>
    <t>target_price_high</t>
  </si>
  <si>
    <t>target_price_low</t>
  </si>
  <si>
    <t>target_price_std_dev</t>
  </si>
  <si>
    <t>target_price_n_est</t>
  </si>
  <si>
    <t>recommendation</t>
  </si>
  <si>
    <t>Buy</t>
  </si>
  <si>
    <t>recommendation_score</t>
  </si>
  <si>
    <t>last_close_price</t>
  </si>
  <si>
    <t>wk52_high_low</t>
  </si>
  <si>
    <t>units</t>
  </si>
  <si>
    <t>per-share in USD; revenue and income in USD millions</t>
  </si>
  <si>
    <t>estimates_captured_at</t>
  </si>
  <si>
    <t>notes</t>
  </si>
  <si>
    <t>Revenue estimate dispersion is wide (6 of 12 contributors) and APLD has beaten revenue consensus massively in each of the last three quarters (258.75 actual vs 95.32 estimate last quarter), so the forward revenue mean is likely stale relative to the datacenter ramp.</t>
  </si>
  <si>
    <t>Beat-probability calibration (forecasting playbook v2)</t>
  </si>
  <si>
    <t>Market capitalisation at cutoff ($m)</t>
  </si>
  <si>
    <t>S17: $7.40bn at 2-Oct-26 close</t>
  </si>
  <si>
    <t>Small/mid threshold ($m)</t>
  </si>
  <si>
    <t>Playbook: small $300m-$2bn, mid $2-10bn, large &gt; $10bn (S21)</t>
  </si>
  <si>
    <t>Mid/large threshold ($m)</t>
  </si>
  <si>
    <t>Cohort prior - small</t>
  </si>
  <si>
    <t>S21</t>
  </si>
  <si>
    <t>Cohort prior - mid</t>
  </si>
  <si>
    <t>S21 (pragmatic interpolation)</t>
  </si>
  <si>
    <t>Cohort prior - large or S&amp;P 500</t>
  </si>
  <si>
    <t>Size bucket</t>
  </si>
  <si>
    <t>S&amp;P 500 member</t>
  </si>
  <si>
    <t>S1 sp500_member</t>
  </si>
  <si>
    <t>Cohort prior</t>
  </si>
  <si>
    <t>Strict beats in supplied history (b)</t>
  </si>
  <si>
    <t>Valid pairs (n)</t>
  </si>
  <si>
    <t>1Q26-4Q26 CapIQ actuals = company adjusted EPS (IS C85:F85 = 0); 4Q25 -0.03 matches S3 prior-year column. 3Q25 -0.08 not verified in preserved evidence (S5 recast prior-year column shows -0.01; original FY25 release not cached). b unaffected: both &gt; -0.10 consensus. None excluded</t>
  </si>
  <si>
    <t>Pseudo-observations</t>
  </si>
  <si>
    <t>Starting probability</t>
  </si>
  <si>
    <t>Final P(beat consensus EPS)</t>
  </si>
  <si>
    <t>Judgment: model EPS ~$0.06 vs -$0.30 consensus (~$0.36 cushion on the company basis CapIQ used in 5/6 verified history pairs; 3Q25 unverified, J119); residual risk = basis change or CapIQ recording a different normalized figure</t>
  </si>
  <si>
    <t>Implied evidence update</t>
  </si>
  <si>
    <t>Confidence (point estimate)</t>
  </si>
  <si>
    <t>medium</t>
  </si>
  <si>
    <t>Direction high; EPS point estimate medium (interest capitalisation, SBC and fit-out timing)</t>
  </si>
  <si>
    <t>Sources</t>
  </si>
  <si>
    <t>ID</t>
  </si>
  <si>
    <t>Published</t>
  </si>
  <si>
    <t>Retrieved</t>
  </si>
  <si>
    <t>Title</t>
  </si>
  <si>
    <t>Publisher</t>
  </si>
  <si>
    <t>Feeds</t>
  </si>
  <si>
    <t>URL or file</t>
  </si>
  <si>
    <t>2026-10-05</t>
  </si>
  <si>
    <t>APLD_consensus.json - S&amp;P Capital IQ consensus snapshot</t>
  </si>
  <si>
    <t>S&amp;P Capital IQ (supplied file)</t>
  </si>
  <si>
    <t>Consensus EPS/revenue/NI at cutoff; Inputs; Cover</t>
  </si>
  <si>
    <t>workspace/APLD_consensus.json (file SHA256 be47949b...a75, whole JSON file; Inputs C31 summary_sha256 dcd0ceef...6004 is a field inside it)</t>
  </si>
  <si>
    <t>APLD_history.csv - six historical actual/consensus pairs</t>
  </si>
  <si>
    <t>Inputs; IS CapIQ actual rows; RS; prior calibration</t>
  </si>
  <si>
    <t>workspace/APLD_history.csv (SHA256 28c59b1d...0aabb)</t>
  </si>
  <si>
    <t>Q4 FY26 earnings release (8-K Ex. 99.1)</t>
  </si>
  <si>
    <t>Applied Digital / SEC EDGAR</t>
  </si>
  <si>
    <t>4Q26/FY26 IS, BS, CF, non-GAAP bridge, HPC components, NOI</t>
  </si>
  <si>
    <t>https://www.sec.gov/Archives/edgar/data/1144879/000114487926000044/apldq426earningsreleaseasf.htm</t>
  </si>
  <si>
    <t>FY26 Form 10-K (R pages R13, R16, R27, R29, R69, R73, R99)</t>
  </si>
  <si>
    <t>Segments (Note 19), interest, restricted cash, lease schedule, subsequent events</t>
  </si>
  <si>
    <t>https://www.sec.gov/Archives/edgar/data/1144879/000114487926000048/</t>
  </si>
  <si>
    <t>S5</t>
  </si>
  <si>
    <t>Q3 FY26 earnings release</t>
  </si>
  <si>
    <t>3Q26 IS, BS, 9M CF, bridge, HPC components</t>
  </si>
  <si>
    <t>https://www.sec.gov/Archives/edgar/data/1144879/000114487926000029/apldq326earningsrelease.htm</t>
  </si>
  <si>
    <t>S6</t>
  </si>
  <si>
    <t>Q3 FY26 Form 10-Q (R43, R77, R79)</t>
  </si>
  <si>
    <t>3Q26/9M segment revenue, costs, D&amp;A; restricted cash</t>
  </si>
  <si>
    <t>https://www.sec.gov/Archives/edgar/data/1144879/000114487926000030/</t>
  </si>
  <si>
    <t>S7</t>
  </si>
  <si>
    <t>Q2 FY26 earnings release</t>
  </si>
  <si>
    <t>2Q26 IS, BS, 6M CF, bridge</t>
  </si>
  <si>
    <t>https://www.sec.gov/Archives/edgar/data/1144879/000114487926000002/apldq226earningsrelease.htm</t>
  </si>
  <si>
    <t>S8</t>
  </si>
  <si>
    <t>2026-01-08</t>
  </si>
  <si>
    <t>Q2 FY26 Form 10-Q (R44, R50, R77, R79)</t>
  </si>
  <si>
    <t>2Q26 segments, Cloud disc. ops, restricted cash</t>
  </si>
  <si>
    <t>https://www.sec.gov/Archives/edgar/data/1144879/000114487926000006/</t>
  </si>
  <si>
    <t>S9</t>
  </si>
  <si>
    <t>Q1 FY26 earnings release</t>
  </si>
  <si>
    <t>1Q26 IS, BS, CF, bridge</t>
  </si>
  <si>
    <t>https://www.sec.gov/Archives/edgar/data/1144879/000114487925000068/apldq126earningsrelease.htm</t>
  </si>
  <si>
    <t>Q1 FY26 Form 10-Q (R47, R71, R73)</t>
  </si>
  <si>
    <t>1Q26 segments, Cloud disc. ops, D&amp;A</t>
  </si>
  <si>
    <t>https://www.sec.gov/Archives/edgar/data/1144879/000114487925000069/</t>
  </si>
  <si>
    <t>S11</t>
  </si>
  <si>
    <t>Q4 FY26 earnings call transcript</t>
  </si>
  <si>
    <t>StockAnalysis</t>
  </si>
  <si>
    <t>Capex ~$600m guide, SBC detail, NOI run-rate, financing</t>
  </si>
  <si>
    <t>https://stockanalysis.com/stocks/apld/transcripts/645667-q4-2026/</t>
  </si>
  <si>
    <t>S12</t>
  </si>
  <si>
    <t>2026-07-01</t>
  </si>
  <si>
    <t>Press release: Applied Digital Delivers Second Building at Polaris Forge 1</t>
  </si>
  <si>
    <t>Applied Digital / GlobeNewswire</t>
  </si>
  <si>
    <t>Building 2 Phase 1 RFS 30-Jun-26 (MW ladder)</t>
  </si>
  <si>
    <t>https://ir.applieddigital.com/news-events/press-releases/detail/157/applied-digital-delivers-second-building-at-polaris-forge-1</t>
  </si>
  <si>
    <t>S13</t>
  </si>
  <si>
    <t>2026-10-02</t>
  </si>
  <si>
    <t>Press release: Additional 75 MW online at Polaris Forge 1</t>
  </si>
  <si>
    <t>Phase 2 RFS 2-Oct-26 (after quarter end; fit-out timing)</t>
  </si>
  <si>
    <t>https://ir.applieddigital.com/news-events/press-releases/detail/161/applied-digital-brings-an-additional-75-mw-of-ai</t>
  </si>
  <si>
    <t>S14</t>
  </si>
  <si>
    <t>2026-09-28</t>
  </si>
  <si>
    <t>Press release: Q1 FY27 conference call date</t>
  </si>
  <si>
    <t>Applied Digital</t>
  </si>
  <si>
    <t>Expected report date 7-Oct-26 after close</t>
  </si>
  <si>
    <t>https://ir.applieddigital.com/news-events/press-releases/detail/160/applied-digital-sets-fiscal-first-quarter-2027-conference</t>
  </si>
  <si>
    <t>S15</t>
  </si>
  <si>
    <t>2026-09-30</t>
  </si>
  <si>
    <t>Applied Digital Earnings Preview Q1 FY27</t>
  </si>
  <si>
    <t>Trend and Ticker (citing MarketBeat, ScanX)</t>
  </si>
  <si>
    <t>Other trackers: MarketBeat -$0.2954/$116.3m; ScanX -$0.30/$134.9m</t>
  </si>
  <si>
    <t>https://trendandticker.com/markets/software/applied-digital-earnings-preview-apld-q1-fiscal-2027-october-7-ubs-jones-trading-rothschild</t>
  </si>
  <si>
    <t>S16</t>
  </si>
  <si>
    <t>2026-09-19</t>
  </si>
  <si>
    <t>Q1 Earnings Preview - Will the Second Building Lift Base Rent?</t>
  </si>
  <si>
    <t>drillr</t>
  </si>
  <si>
    <t>FXEmpire 6-analyst -$0.27/$137.1m; B. Riley PF2 first hall 4Q CY26</t>
  </si>
  <si>
    <t>https://drillr.ai/article/apld-applied-digital-q1-fiscal-2027-earnings-preview-base-rent</t>
  </si>
  <si>
    <t>S17</t>
  </si>
  <si>
    <t>Applied Digital market cap</t>
  </si>
  <si>
    <t>StockAnalysis (Nasdaq Data Link)</t>
  </si>
  <si>
    <t>Market cap $7.40bn at 2-Oct-26 close (size bucket)</t>
  </si>
  <si>
    <t>https://stockanalysis.com/stocks/apld/market-cap/</t>
  </si>
  <si>
    <t>S18</t>
  </si>
  <si>
    <t>2026-08-19</t>
  </si>
  <si>
    <t>ChronoScale FY26 10-K summary</t>
  </si>
  <si>
    <t>Stock Titan</t>
  </si>
  <si>
    <t>ChronoScale GPUs (6,144 H100), single customer</t>
  </si>
  <si>
    <t>https://www.stocktitan.net/sec-filings/CHRN/10-k-chrono-scale-holdings-corp-files-annual-report-4110a418806e.html</t>
  </si>
  <si>
    <t>S19</t>
  </si>
  <si>
    <t>2026-09-29</t>
  </si>
  <si>
    <t>Applied Digital's $36 Billion Backlog Faces a Skeptical Market</t>
  </si>
  <si>
    <t>Earnings Whispers</t>
  </si>
  <si>
    <t>Alternative consensus -$0.25 / $134.1m (reference only)</t>
  </si>
  <si>
    <t>https://beta.earningswhispers.com/article/APLD/20298</t>
  </si>
  <si>
    <t>S20</t>
  </si>
  <si>
    <t>APLD Q3 FY26 earnings summary</t>
  </si>
  <si>
    <t>Perplexity Finance</t>
  </si>
  <si>
    <t>Q3 call: first new building RFS date 1-Jul-26 (guidance row)</t>
  </si>
  <si>
    <t>https://www.perplexity.ai/finance/APLD/earnings</t>
  </si>
  <si>
    <t>Forecasting playbook v2 (supplied)</t>
  </si>
  <si>
    <t>Task file</t>
  </si>
  <si>
    <t>Cohort priors and pseudo-count method</t>
  </si>
  <si>
    <t>workspace/forecasting-playbook.md</t>
  </si>
  <si>
    <t>Omitted tab: Geo</t>
  </si>
  <si>
    <t>FY26 Form 10-K (filed 29-Jul-26) checked: all operating sites in the US (North Dakota; ChronoScale colocation CO/MN/UT); no geographic revenue split disclosed.</t>
  </si>
  <si>
    <t>No ChronoScale segment tab</t>
  </si>
  <si>
    <t>FY26 10-K Note 19 checked: ChronoScale is not a reportable segment (shown as Other on Revenue summary).</t>
  </si>
  <si>
    <t>Cutoff and exposure</t>
  </si>
  <si>
    <t>S1-S21 carry publication dates on or before 2026-10-04. S1/S2 CapIQ capture is date precision only (2026-10-04; no intraday timestamp) - a documented limitation, not a post-cutoff source. Web pages were retrieved live on 2026-10-05 (cached fetch files timestamped ~01:49-02:01 UTC), after the cutoff; no archived snapshots were taken, so live pages (e.g. S11, S17) could reflect later edits. No 1Q27 actual results were encountered.</t>
  </si>
</sst>
</file>

<file path=xl/styles.xml><?xml version="1.0" encoding="utf-8"?>
<styleSheet xmlns="http://schemas.openxmlformats.org/spreadsheetml/2006/main">
  <numFmts count="11">
    <numFmt numFmtId="164" formatCode="#,##0.0_);(#,##0.0);–_)"/>
    <numFmt numFmtId="165" formatCode="dd-mmm-yy"/>
    <numFmt numFmtId="166" formatCode="0"/>
    <numFmt numFmtId="167" formatCode="@"/>
    <numFmt numFmtId="168" formatCode="#,##0_);(#,##0);–_)"/>
    <numFmt numFmtId="169" formatCode="$0.00_);($0.00)"/>
    <numFmt numFmtId="170" formatCode="0.0%_);(0.0%);–_)"/>
    <numFmt numFmtId="171" formatCode="0.0%"/>
    <numFmt numFmtId="172" formatCode="#,##0.00_);(#,##0.00);–_)"/>
    <numFmt numFmtId="173" formatCode="General"/>
    <numFmt numFmtId="174" formatCode="$0.0000_);($0.0000)"/>
  </numFmts>
  <fonts count="23">
    <font>
      <sz val="11"/>
      <color theme="1"/>
      <name val="Calibri"/>
      <family val="2"/>
      <scheme val="minor"/>
    </font>
    <font>
      <b val="0"/>
      <i val="0"/>
      <strike val="0"/>
      <sz val="10"/>
      <color rgb="FF000000"/>
      <name val="Arial"/>
    </font>
    <font>
      <b val="0"/>
      <i val="0"/>
      <strike val="0"/>
      <sz val="10"/>
      <color rgb="FF404040"/>
      <name val="Arial"/>
    </font>
    <font>
      <b/>
      <i val="0"/>
      <strike val="0"/>
      <sz val="10"/>
      <color rgb="FF000000"/>
      <name val="Arial"/>
    </font>
    <font>
      <b val="0"/>
      <i val="0"/>
      <strike val="0"/>
      <sz val="10"/>
      <color rgb="FF0000FF"/>
      <name val="Arial"/>
    </font>
    <font>
      <b val="0"/>
      <i val="0"/>
      <strike val="0"/>
      <sz val="11"/>
      <color rgb="FF404040"/>
      <name val="Calibri"/>
    </font>
    <font>
      <b val="0"/>
      <i val="0"/>
      <strike val="0"/>
      <sz val="10"/>
      <color rgb="FF006100"/>
      <name val="Arial"/>
    </font>
    <font>
      <b val="0"/>
      <i/>
      <strike val="0"/>
      <sz val="10"/>
      <color rgb="FF000000"/>
      <name val="Arial"/>
    </font>
    <font>
      <b/>
      <i val="0"/>
      <strike val="0"/>
      <sz val="12"/>
      <color rgb="FF000000"/>
      <name val="Arial"/>
    </font>
    <font>
      <b/>
      <i val="0"/>
      <strike val="0"/>
      <sz val="10"/>
      <color rgb="FF404040"/>
      <name val="Arial"/>
    </font>
    <font>
      <b/>
      <i val="0"/>
      <strike val="0"/>
      <sz val="14"/>
      <color rgb="FF000000"/>
      <name val="Arial"/>
    </font>
    <font>
      <b val="0"/>
      <i/>
      <strike val="0"/>
      <sz val="10"/>
      <color rgb="FF006100"/>
      <name val="Arial"/>
    </font>
    <font>
      <b val="0"/>
      <i/>
      <strike val="0"/>
      <sz val="10"/>
      <color rgb="FF0000FF"/>
      <name val="Arial"/>
    </font>
    <font>
      <b/>
      <i val="0"/>
      <strike val="0"/>
      <sz val="10"/>
      <color rgb="FF0000FF"/>
      <name val="Arial"/>
    </font>
    <font>
      <b/>
      <i val="0"/>
      <strike val="0"/>
      <sz val="10"/>
      <color rgb="FF006100"/>
      <name val="Arial"/>
    </font>
    <font>
      <b val="0"/>
      <i val="0"/>
      <strike val="0"/>
      <sz val="11"/>
      <color rgb="FF000000"/>
      <name val="Calibri"/>
    </font>
    <font>
      <b val="0"/>
      <i val="0"/>
      <strike val="0"/>
      <sz val="10"/>
      <color rgb="FF404040"/>
      <name val="Arial"/>
      <family val="2"/>
      <scheme val="minor"/>
    </font>
    <font>
      <b val="0"/>
      <i val="0"/>
      <strike val="0"/>
      <sz val="10"/>
      <color rgb="FF000000"/>
      <name val="Arial"/>
      <family val="2"/>
      <scheme val="minor"/>
    </font>
    <font>
      <b val="0"/>
      <i val="0"/>
      <strike val="0"/>
      <sz val="10"/>
      <color rgb="FF0000FF"/>
      <name val="Arial"/>
      <family val="2"/>
      <scheme val="minor"/>
    </font>
    <font>
      <b/>
      <i val="0"/>
      <strike val="0"/>
      <sz val="10"/>
      <color rgb="FF000000"/>
      <name val="Arial"/>
      <family val="2"/>
      <scheme val="minor"/>
    </font>
    <font>
      <b val="0"/>
      <i val="0"/>
      <strike val="0"/>
      <sz val="10"/>
      <color rgb="FF000000"/>
      <name val="Arial"/>
      <family val="2"/>
      <scheme val="minor"/>
    </font>
    <font>
      <b/>
      <i val="0"/>
      <strike val="0"/>
      <sz val="10"/>
      <color rgb="FF000000"/>
      <name val="Arial"/>
      <family val="2"/>
      <scheme val="minor"/>
    </font>
    <font>
      <b val="0"/>
      <i val="0"/>
      <strike val="0"/>
      <sz val="10"/>
      <color rgb="FF0000FF"/>
      <name val="Arial"/>
      <family val="2"/>
      <scheme val="minor"/>
    </font>
  </fonts>
  <fills count="6">
    <fill>
      <patternFill patternType="none"/>
    </fill>
    <fill>
      <patternFill patternType="gray125"/>
    </fill>
    <fill>
      <patternFill patternType="none"/>
    </fill>
    <fill>
      <patternFill patternType="solid">
        <fgColor rgb="FFF2F2F2"/>
      </patternFill>
    </fill>
    <fill>
      <patternFill patternType="solid">
        <fgColor rgb="FFEEF4FB"/>
      </patternFill>
    </fill>
    <fill>
      <patternFill patternType="solid">
        <fgColor rgb="FFDDEBF7"/>
      </patternFill>
    </fill>
  </fills>
  <borders count="5">
    <border/>
    <border>
      <top style="thin">
        <color rgb="FF808080"/>
      </top>
    </border>
    <border>
      <bottom style="thin">
        <color rgb="FF808080"/>
      </bottom>
    </border>
    <border>
      <top style="thin">
        <color rgb="FF808080"/>
      </top>
      <bottom style="thin">
        <color rgb="FF808080"/>
      </bottom>
    </border>
    <border>
      <top style="thin">
        <color rgb="FF000000"/>
      </top>
    </border>
  </borders>
  <cellStyleXfs count="1">
    <xf numFmtId="0" fontId="0" fillId="0" borderId="0"/>
  </cellStyleXfs>
  <cellXfs count="94">
    <xf numFmtId="0" fontId="0" fillId="0" borderId="0" xfId="0"/>
    <xf numFmtId="0" fontId="1" fillId="2" borderId="0" xfId="0" applyFont="1" applyFill="1" applyAlignment="1" applyProtection="1">
      <alignment horizontal="general" vertical="bottom"/>
      <protection locked="1" hidden="0"/>
    </xf>
    <xf numFmtId="0" fontId="2" fillId="2" borderId="0" xfId="0" applyFont="1" applyFill="1" applyAlignment="1" applyProtection="1">
      <alignment horizontal="left" vertical="bottom"/>
      <protection locked="1" hidden="0"/>
    </xf>
    <xf numFmtId="164" fontId="1" fillId="2" borderId="0" xfId="0" applyNumberFormat="1" applyFont="1" applyFill="1" applyAlignment="1" applyProtection="1">
      <alignment horizontal="right" vertical="bottom"/>
      <protection locked="1" hidden="0"/>
    </xf>
    <xf numFmtId="0" fontId="3" fillId="3" borderId="1" xfId="0" applyFont="1" applyFill="1" applyBorder="1" applyAlignment="1" applyProtection="1">
      <alignment horizontal="right" vertical="bottom"/>
      <protection locked="1" hidden="0"/>
    </xf>
    <xf numFmtId="165" fontId="1" fillId="3" borderId="0" xfId="0" applyNumberFormat="1" applyFont="1" applyFill="1" applyAlignment="1" applyProtection="1">
      <alignment horizontal="right" vertical="bottom"/>
      <protection locked="1" hidden="0"/>
    </xf>
    <xf numFmtId="0" fontId="1" fillId="3" borderId="0" xfId="0" applyFont="1" applyFill="1" applyAlignment="1" applyProtection="1">
      <alignment horizontal="general" vertical="bottom"/>
      <protection locked="1" hidden="0"/>
    </xf>
    <xf numFmtId="0" fontId="1" fillId="2" borderId="0" xfId="0" applyFont="1" applyFill="1" applyAlignment="1" applyProtection="1">
      <alignment horizontal="right" vertical="bottom"/>
      <protection locked="1" hidden="0"/>
    </xf>
    <xf numFmtId="164" fontId="4" fillId="2" borderId="0" xfId="0" applyNumberFormat="1" applyFont="1" applyFill="1" applyAlignment="1" applyProtection="1">
      <alignment horizontal="right" vertical="bottom"/>
      <protection locked="1" hidden="0"/>
    </xf>
    <xf numFmtId="166" fontId="1" fillId="3" borderId="2" xfId="0" applyNumberFormat="1" applyFont="1" applyFill="1" applyBorder="1" applyAlignment="1" applyProtection="1">
      <alignment horizontal="right" vertical="bottom"/>
      <protection locked="1" hidden="0"/>
    </xf>
    <xf numFmtId="0" fontId="1" fillId="2" borderId="0" xfId="0" applyFont="1" applyFill="1" applyAlignment="1" applyProtection="1">
      <alignment horizontal="left" vertical="bottom"/>
      <protection locked="1" hidden="0"/>
    </xf>
    <xf numFmtId="0" fontId="1" fillId="3" borderId="2" xfId="0" applyFont="1" applyFill="1" applyBorder="1" applyAlignment="1" applyProtection="1">
      <alignment horizontal="general" vertical="bottom"/>
      <protection locked="1" hidden="0"/>
    </xf>
    <xf numFmtId="0" fontId="3" fillId="3" borderId="3" xfId="0" applyFont="1" applyFill="1" applyBorder="1" applyAlignment="1" applyProtection="1">
      <alignment horizontal="right" vertical="bottom"/>
      <protection locked="1" hidden="0"/>
    </xf>
    <xf numFmtId="0" fontId="3" fillId="3" borderId="1" xfId="0" applyFont="1" applyFill="1" applyBorder="1" applyAlignment="1" applyProtection="1">
      <alignment horizontal="general" vertical="bottom"/>
      <protection locked="1" hidden="0"/>
    </xf>
    <xf numFmtId="0" fontId="3" fillId="2" borderId="0" xfId="0" applyFont="1" applyFill="1" applyAlignment="1" applyProtection="1">
      <alignment horizontal="general" vertical="bottom"/>
      <protection locked="1" hidden="0"/>
    </xf>
    <xf numFmtId="0" fontId="3" fillId="3" borderId="3" xfId="0" applyFont="1" applyFill="1" applyBorder="1" applyAlignment="1" applyProtection="1">
      <alignment horizontal="general" vertical="bottom"/>
      <protection locked="1" hidden="0"/>
    </xf>
    <xf numFmtId="167" fontId="1" fillId="2" borderId="0" xfId="0" applyNumberFormat="1" applyFont="1" applyFill="1" applyAlignment="1" applyProtection="1">
      <alignment horizontal="left" vertical="bottom"/>
      <protection locked="1" hidden="0"/>
    </xf>
    <xf numFmtId="0" fontId="5" fillId="2" borderId="0" xfId="0" applyFont="1" applyFill="1" applyAlignment="1" applyProtection="1">
      <alignment horizontal="left" vertical="bottom"/>
      <protection locked="1" hidden="0"/>
    </xf>
    <xf numFmtId="0" fontId="1" fillId="2" borderId="2" xfId="0" applyFont="1" applyFill="1" applyBorder="1" applyAlignment="1" applyProtection="1">
      <alignment horizontal="right" vertical="bottom"/>
      <protection locked="1" hidden="0"/>
    </xf>
    <xf numFmtId="168" fontId="6" fillId="2" borderId="0" xfId="0" applyNumberFormat="1" applyFont="1" applyFill="1" applyAlignment="1" applyProtection="1">
      <alignment horizontal="right" vertical="bottom"/>
      <protection locked="1" hidden="0"/>
    </xf>
    <xf numFmtId="164" fontId="6" fillId="2" borderId="0" xfId="0" applyNumberFormat="1" applyFont="1" applyFill="1" applyAlignment="1" applyProtection="1">
      <alignment horizontal="right" vertical="bottom"/>
      <protection locked="1" hidden="0"/>
    </xf>
    <xf numFmtId="169" fontId="4" fillId="2" borderId="0" xfId="0" applyNumberFormat="1" applyFont="1" applyFill="1" applyAlignment="1" applyProtection="1">
      <alignment horizontal="right" vertical="bottom"/>
      <protection locked="1" hidden="0"/>
    </xf>
    <xf numFmtId="169" fontId="1" fillId="2" borderId="2" xfId="0" applyNumberFormat="1" applyFont="1" applyFill="1" applyBorder="1" applyAlignment="1" applyProtection="1">
      <alignment horizontal="right" vertical="bottom"/>
      <protection locked="1" hidden="0"/>
    </xf>
    <xf numFmtId="170" fontId="7" fillId="2" borderId="0" xfId="0" applyNumberFormat="1" applyFont="1" applyFill="1" applyAlignment="1" applyProtection="1">
      <alignment horizontal="right" vertical="bottom"/>
      <protection locked="1" hidden="0"/>
    </xf>
    <xf numFmtId="169" fontId="6" fillId="2" borderId="2" xfId="0" applyNumberFormat="1" applyFont="1" applyFill="1" applyBorder="1" applyAlignment="1" applyProtection="1">
      <alignment horizontal="right" vertical="bottom"/>
      <protection locked="1" hidden="0"/>
    </xf>
    <xf numFmtId="0" fontId="7" fillId="2" borderId="0" xfId="0" applyFont="1" applyFill="1" applyAlignment="1" applyProtection="1">
      <alignment horizontal="general" vertical="bottom"/>
      <protection locked="1" hidden="0"/>
    </xf>
    <xf numFmtId="169" fontId="6" fillId="2"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right" vertical="bottom"/>
      <protection locked="1" hidden="0"/>
    </xf>
    <xf numFmtId="0" fontId="8" fillId="2" borderId="0" xfId="0" applyFont="1" applyFill="1" applyAlignment="1" applyProtection="1">
      <alignment horizontal="general" vertical="bottom"/>
      <protection locked="1" hidden="0"/>
    </xf>
    <xf numFmtId="0" fontId="9" fillId="3" borderId="3" xfId="0" applyFont="1" applyFill="1" applyBorder="1" applyAlignment="1" applyProtection="1">
      <alignment horizontal="left" vertical="bottom"/>
      <protection locked="1" hidden="0"/>
    </xf>
    <xf numFmtId="0" fontId="10" fillId="2" borderId="0" xfId="0" applyFont="1" applyFill="1" applyAlignment="1" applyProtection="1">
      <alignment horizontal="general" vertical="bottom"/>
      <protection locked="1" hidden="0"/>
    </xf>
    <xf numFmtId="170" fontId="7" fillId="2" borderId="2" xfId="0" applyNumberFormat="1" applyFont="1" applyFill="1" applyBorder="1" applyAlignment="1" applyProtection="1">
      <alignment horizontal="right" vertical="bottom"/>
      <protection locked="1" hidden="0"/>
    </xf>
    <xf numFmtId="169" fontId="1" fillId="2" borderId="0" xfId="0" applyNumberFormat="1" applyFont="1" applyFill="1" applyAlignment="1" applyProtection="1">
      <alignment horizontal="right" vertical="bottom"/>
      <protection locked="1" hidden="0"/>
    </xf>
    <xf numFmtId="0" fontId="1" fillId="2" borderId="2" xfId="0" applyFont="1" applyFill="1" applyBorder="1" applyAlignment="1" applyProtection="1">
      <alignment horizontal="general" vertical="bottom"/>
      <protection locked="1" hidden="0"/>
    </xf>
    <xf numFmtId="171" fontId="11" fillId="2"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right" vertical="bottom"/>
      <protection locked="1" hidden="0"/>
    </xf>
    <xf numFmtId="0" fontId="3" fillId="4" borderId="0" xfId="0" applyFont="1" applyFill="1" applyAlignment="1" applyProtection="1">
      <alignment horizontal="right" vertical="bottom"/>
      <protection locked="1" hidden="0"/>
    </xf>
    <xf numFmtId="164" fontId="3" fillId="2" borderId="4" xfId="0" applyNumberFormat="1" applyFont="1" applyFill="1" applyBorder="1" applyAlignment="1" applyProtection="1">
      <alignment horizontal="right" vertical="bottom"/>
      <protection locked="1" hidden="0"/>
    </xf>
    <xf numFmtId="169" fontId="6" fillId="4" borderId="0" xfId="0" applyNumberFormat="1" applyFont="1" applyFill="1" applyAlignment="1" applyProtection="1">
      <alignment horizontal="right" vertical="bottom"/>
      <protection locked="1" hidden="0"/>
    </xf>
    <xf numFmtId="164" fontId="3" fillId="2" borderId="0" xfId="0" applyNumberFormat="1" applyFont="1" applyFill="1" applyAlignment="1" applyProtection="1">
      <alignment horizontal="right" vertical="bottom"/>
      <protection locked="1" hidden="0"/>
    </xf>
    <xf numFmtId="164" fontId="3" fillId="4" borderId="0" xfId="0" applyNumberFormat="1" applyFont="1" applyFill="1" applyAlignment="1" applyProtection="1">
      <alignment horizontal="right" vertical="bottom"/>
      <protection locked="1" hidden="0"/>
    </xf>
    <xf numFmtId="168" fontId="1" fillId="2" borderId="0" xfId="0" applyNumberFormat="1" applyFont="1" applyFill="1" applyAlignment="1" applyProtection="1">
      <alignment horizontal="right" vertical="bottom"/>
      <protection locked="1" hidden="0"/>
    </xf>
    <xf numFmtId="0" fontId="1" fillId="4" borderId="0" xfId="0" applyFont="1" applyFill="1" applyAlignment="1" applyProtection="1">
      <alignment horizontal="right" vertical="bottom"/>
      <protection locked="1" hidden="0"/>
    </xf>
    <xf numFmtId="172" fontId="1" fillId="2" borderId="0" xfId="0" applyNumberFormat="1" applyFont="1" applyFill="1" applyAlignment="1" applyProtection="1">
      <alignment horizontal="right" vertical="bottom"/>
      <protection locked="1" hidden="0"/>
    </xf>
    <xf numFmtId="164" fontId="1" fillId="4" borderId="0" xfId="0" applyNumberFormat="1" applyFont="1" applyFill="1" applyAlignment="1" applyProtection="1">
      <alignment horizontal="right" vertical="bottom"/>
      <protection locked="1" hidden="0"/>
    </xf>
    <xf numFmtId="170" fontId="12" fillId="2" borderId="0" xfId="0" applyNumberFormat="1" applyFont="1" applyFill="1" applyAlignment="1" applyProtection="1">
      <alignment horizontal="right" vertical="bottom"/>
      <protection locked="1" hidden="0"/>
    </xf>
    <xf numFmtId="170" fontId="12" fillId="4" borderId="0" xfId="0" applyNumberFormat="1" applyFont="1" applyFill="1" applyAlignment="1" applyProtection="1">
      <alignment horizontal="right" vertical="bottom"/>
      <protection locked="1" hidden="0"/>
    </xf>
    <xf numFmtId="164" fontId="13" fillId="2" borderId="4" xfId="0" applyNumberFormat="1" applyFont="1" applyFill="1" applyBorder="1" applyAlignment="1" applyProtection="1">
      <alignment horizontal="right" vertical="bottom"/>
      <protection locked="1" hidden="0"/>
    </xf>
    <xf numFmtId="164" fontId="14" fillId="2" borderId="0" xfId="0" applyNumberFormat="1" applyFont="1" applyFill="1" applyAlignment="1" applyProtection="1">
      <alignment horizontal="right" vertical="bottom"/>
      <protection locked="1" hidden="0"/>
    </xf>
    <xf numFmtId="168" fontId="6" fillId="4" borderId="0" xfId="0" applyNumberFormat="1" applyFont="1" applyFill="1" applyAlignment="1" applyProtection="1">
      <alignment horizontal="right" vertical="bottom"/>
      <protection locked="1" hidden="0"/>
    </xf>
    <xf numFmtId="170" fontId="7" fillId="4" borderId="0" xfId="0" applyNumberFormat="1" applyFont="1" applyFill="1" applyAlignment="1" applyProtection="1">
      <alignment horizontal="right" vertical="bottom"/>
      <protection locked="1" hidden="0"/>
    </xf>
    <xf numFmtId="168" fontId="1" fillId="4" borderId="0" xfId="0" applyNumberFormat="1" applyFont="1" applyFill="1" applyAlignment="1" applyProtection="1">
      <alignment horizontal="right" vertical="bottom"/>
      <protection locked="1" hidden="0"/>
    </xf>
    <xf numFmtId="0" fontId="3" fillId="3" borderId="3" xfId="0" applyFont="1" applyFill="1" applyBorder="1" applyAlignment="1" applyProtection="1">
      <alignment horizontal="left" vertical="bottom"/>
      <protection locked="1" hidden="0"/>
    </xf>
    <xf numFmtId="166" fontId="1" fillId="5" borderId="2" xfId="0" applyNumberFormat="1" applyFont="1" applyFill="1" applyBorder="1" applyAlignment="1" applyProtection="1">
      <alignment horizontal="right" vertical="bottom"/>
      <protection locked="1" hidden="0"/>
    </xf>
    <xf numFmtId="0" fontId="15" fillId="2" borderId="0" xfId="0" applyFont="1" applyFill="1" applyAlignment="1" applyProtection="1">
      <alignment horizontal="left" vertical="bottom"/>
      <protection locked="1" hidden="0"/>
    </xf>
    <xf numFmtId="172" fontId="1" fillId="4" borderId="0" xfId="0" applyNumberFormat="1" applyFont="1" applyFill="1" applyAlignment="1" applyProtection="1">
      <alignment horizontal="right" vertical="bottom"/>
      <protection locked="1" hidden="0"/>
    </xf>
    <xf numFmtId="164" fontId="3" fillId="4" borderId="4" xfId="0" applyNumberFormat="1" applyFont="1" applyFill="1" applyBorder="1" applyAlignment="1" applyProtection="1">
      <alignment horizontal="right" vertical="bottom"/>
      <protection locked="1" hidden="0"/>
    </xf>
    <xf numFmtId="0" fontId="3" fillId="5" borderId="1" xfId="0" applyFont="1" applyFill="1" applyBorder="1" applyAlignment="1" applyProtection="1">
      <alignment horizontal="right" vertical="bottom"/>
      <protection locked="1" hidden="0"/>
    </xf>
    <xf numFmtId="164" fontId="6" fillId="4" borderId="0" xfId="0" applyNumberFormat="1" applyFont="1" applyFill="1" applyAlignment="1" applyProtection="1">
      <alignment horizontal="right" vertical="bottom"/>
      <protection locked="1" hidden="0"/>
    </xf>
    <xf numFmtId="165" fontId="1" fillId="5" borderId="0" xfId="0" applyNumberFormat="1" applyFont="1" applyFill="1" applyAlignment="1" applyProtection="1">
      <alignment horizontal="right" vertical="bottom"/>
      <protection locked="1" hidden="0"/>
    </xf>
    <xf numFmtId="164" fontId="13" fillId="2" borderId="0" xfId="0" applyNumberFormat="1" applyFont="1" applyFill="1" applyAlignment="1" applyProtection="1">
      <alignment horizontal="right" vertical="bottom"/>
      <protection locked="1" hidden="0"/>
    </xf>
    <xf numFmtId="164" fontId="4" fillId="4" borderId="0" xfId="0" applyNumberFormat="1" applyFont="1" applyFill="1" applyAlignment="1" applyProtection="1">
      <alignment horizontal="right" vertical="bottom"/>
      <protection locked="1" hidden="0"/>
    </xf>
    <xf numFmtId="164" fontId="14" fillId="4" borderId="0" xfId="0" applyNumberFormat="1" applyFont="1" applyFill="1" applyAlignment="1" applyProtection="1">
      <alignment horizontal="right" vertical="bottom"/>
      <protection locked="1" hidden="0"/>
    </xf>
    <xf numFmtId="168" fontId="4" fillId="2" borderId="0" xfId="0" applyNumberFormat="1" applyFont="1" applyFill="1" applyAlignment="1" applyProtection="1">
      <alignment horizontal="right" vertical="bottom"/>
      <protection locked="1" hidden="0"/>
    </xf>
    <xf numFmtId="168" fontId="4" fillId="4" borderId="0" xfId="0" applyNumberFormat="1" applyFont="1" applyFill="1" applyAlignment="1" applyProtection="1">
      <alignment horizontal="right" vertical="bottom"/>
      <protection locked="1" hidden="0"/>
    </xf>
    <xf numFmtId="169" fontId="3" fillId="2" borderId="4" xfId="0" applyNumberFormat="1" applyFont="1" applyFill="1" applyBorder="1" applyAlignment="1" applyProtection="1">
      <alignment horizontal="right" vertical="bottom"/>
      <protection locked="1" hidden="0"/>
    </xf>
    <xf numFmtId="169" fontId="1" fillId="4" borderId="0" xfId="0" applyNumberFormat="1" applyFont="1" applyFill="1" applyAlignment="1" applyProtection="1">
      <alignment horizontal="right" vertical="bottom"/>
      <protection locked="1" hidden="0"/>
    </xf>
    <xf numFmtId="170" fontId="11" fillId="4" borderId="0" xfId="0" applyNumberFormat="1" applyFont="1" applyFill="1" applyAlignment="1" applyProtection="1">
      <alignment horizontal="right" vertical="bottom"/>
      <protection locked="1" hidden="0"/>
    </xf>
    <xf numFmtId="172" fontId="1" fillId="2" borderId="0" xfId="0" applyNumberFormat="1" applyFont="1" applyFill="1" applyAlignment="1" applyProtection="1">
      <alignment horizontal="general" vertical="bottom"/>
      <protection locked="1" hidden="0"/>
    </xf>
    <xf numFmtId="172" fontId="4" fillId="2" borderId="0" xfId="0" applyNumberFormat="1" applyFont="1" applyFill="1" applyAlignment="1" applyProtection="1">
      <alignment horizontal="right" vertical="bottom"/>
      <protection locked="1" hidden="0"/>
    </xf>
    <xf numFmtId="172" fontId="4" fillId="4" borderId="0" xfId="0" applyNumberFormat="1" applyFont="1" applyFill="1" applyAlignment="1" applyProtection="1">
      <alignment horizontal="right" vertical="bottom"/>
      <protection locked="1" hidden="0"/>
    </xf>
    <xf numFmtId="169" fontId="3" fillId="2" borderId="0" xfId="0" applyNumberFormat="1" applyFont="1" applyFill="1" applyAlignment="1" applyProtection="1">
      <alignment horizontal="right" vertical="bottom"/>
      <protection locked="1" hidden="0"/>
    </xf>
    <xf numFmtId="172" fontId="4" fillId="2" borderId="0" xfId="0" applyNumberFormat="1" applyFont="1" applyFill="1" applyAlignment="1" applyProtection="1">
      <alignment horizontal="general" vertical="bottom"/>
      <protection locked="1" hidden="0"/>
    </xf>
    <xf numFmtId="169" fontId="1" fillId="2" borderId="0" xfId="0" applyNumberFormat="1" applyFont="1" applyFill="1" applyAlignment="1" applyProtection="1">
      <alignment horizontal="general" vertical="bottom"/>
      <protection locked="1" hidden="0"/>
    </xf>
    <xf numFmtId="0" fontId="3" fillId="2" borderId="0" xfId="0" applyFont="1" applyFill="1" applyAlignment="1" applyProtection="1">
      <alignment horizontal="right" vertical="top" wrapText="1"/>
      <protection locked="1" hidden="0"/>
    </xf>
    <xf numFmtId="0" fontId="4" fillId="2" borderId="0" xfId="0" applyFont="1" applyFill="1" applyAlignment="1" applyProtection="1">
      <alignment horizontal="general" vertical="bottom"/>
      <protection locked="1" hidden="0"/>
    </xf>
    <xf numFmtId="0" fontId="3" fillId="2" borderId="0" xfId="0" applyFont="1" applyFill="1" applyAlignment="1" applyProtection="1">
      <alignment horizontal="general" vertical="top" wrapText="1"/>
      <protection locked="1" hidden="0"/>
    </xf>
    <xf numFmtId="169" fontId="3" fillId="4" borderId="4" xfId="0" applyNumberFormat="1" applyFont="1" applyFill="1" applyBorder="1" applyAlignment="1" applyProtection="1">
      <alignment horizontal="right" vertical="bottom"/>
      <protection locked="1" hidden="0"/>
    </xf>
    <xf numFmtId="170" fontId="1" fillId="2" borderId="0" xfId="0" applyNumberFormat="1" applyFont="1" applyFill="1" applyAlignment="1" applyProtection="1">
      <alignment horizontal="general" vertical="bottom"/>
      <protection locked="1" hidden="0"/>
    </xf>
    <xf numFmtId="164" fontId="1" fillId="2" borderId="0" xfId="0" applyNumberFormat="1" applyFont="1" applyFill="1" applyAlignment="1" applyProtection="1">
      <alignment horizontal="general" vertical="bottom"/>
      <protection locked="1" hidden="0"/>
    </xf>
    <xf numFmtId="168" fontId="1" fillId="2" borderId="0" xfId="0" applyNumberFormat="1" applyFont="1" applyFill="1" applyAlignment="1" applyProtection="1">
      <alignment horizontal="general" vertical="bottom"/>
      <protection locked="1" hidden="0"/>
    </xf>
    <xf numFmtId="0" fontId="13" fillId="2" borderId="0" xfId="0" applyFont="1" applyFill="1" applyAlignment="1" applyProtection="1">
      <alignment horizontal="right" vertical="bottom"/>
      <protection locked="1" hidden="0"/>
    </xf>
    <xf numFmtId="164" fontId="14" fillId="4" borderId="4" xfId="0" applyNumberFormat="1" applyFont="1" applyFill="1" applyBorder="1" applyAlignment="1" applyProtection="1">
      <alignment horizontal="right" vertical="bottom"/>
      <protection locked="1" hidden="0"/>
    </xf>
    <xf numFmtId="169" fontId="3" fillId="4" borderId="0" xfId="0" applyNumberFormat="1" applyFont="1" applyFill="1" applyAlignment="1" applyProtection="1">
      <alignment horizontal="right" vertical="bottom"/>
      <protection locked="1" hidden="0"/>
    </xf>
    <xf numFmtId="0" fontId="4" fillId="2" borderId="0" xfId="0" applyFont="1" applyFill="1" applyAlignment="1" applyProtection="1">
      <alignment horizontal="right" vertical="bottom"/>
      <protection locked="1" hidden="0"/>
    </xf>
    <xf numFmtId="173" fontId="16" fillId="0" borderId="0" xfId="0" applyNumberFormat="1" applyFont="1" applyFill="1" applyAlignment="1" applyProtection="1">
      <alignment horizontal="left" vertical="bottom" textRotation="0" wrapText="1" indent="0" readingOrder="0"/>
      <protection locked="1" hidden="0"/>
    </xf>
    <xf numFmtId="173" fontId="17" fillId="0" borderId="0" xfId="0" applyNumberFormat="1" applyFont="1" applyFill="1" applyAlignment="1" applyProtection="1">
      <alignment horizontal="left" vertical="bottom" textRotation="0" indent="1" readingOrder="0"/>
      <protection locked="1" hidden="0"/>
    </xf>
    <xf numFmtId="174" fontId="18" fillId="0" borderId="0" xfId="0" applyNumberFormat="1" applyFont="1" applyFill="1" applyAlignment="1" applyProtection="1">
      <alignment horizontal="right" vertical="bottom" textRotation="0" indent="0" readingOrder="0"/>
      <protection locked="1" hidden="0"/>
    </xf>
    <xf numFmtId="173" fontId="19" fillId="3" borderId="3" xfId="0" applyNumberFormat="1" applyFont="1" applyFill="1" applyBorder="1" applyAlignment="1" applyProtection="1">
      <alignment horizontal="left" vertical="bottom" textRotation="0" indent="1" readingOrder="0"/>
      <protection locked="1" hidden="0"/>
    </xf>
    <xf numFmtId="173" fontId="20" fillId="0" borderId="0" xfId="0" applyNumberFormat="1" applyFont="1" applyFill="1" applyAlignment="1" applyProtection="1">
      <alignment horizontal="left" vertical="bottom" textRotation="0" indent="2" readingOrder="0"/>
      <protection locked="1" hidden="0"/>
    </xf>
    <xf numFmtId="164" fontId="20" fillId="0" borderId="0" xfId="0" applyNumberFormat="1" applyFont="1" applyFill="1" applyAlignment="1" applyProtection="1">
      <alignment horizontal="right" vertical="bottom" textRotation="0" indent="0" readingOrder="0"/>
      <protection locked="1" hidden="0"/>
    </xf>
    <xf numFmtId="173" fontId="21" fillId="3" borderId="3" xfId="0" applyNumberFormat="1" applyFont="1" applyFill="1" applyBorder="1" applyAlignment="1" applyProtection="1">
      <alignment horizontal="left" vertical="bottom" textRotation="0" indent="2" readingOrder="0"/>
      <protection locked="1" hidden="0"/>
    </xf>
    <xf numFmtId="172" fontId="22" fillId="0" borderId="0" xfId="0" applyNumberFormat="1" applyFont="1" applyFill="1" applyAlignment="1" applyProtection="1">
      <alignment horizontal="left" vertical="bottom" textRotation="0" indent="0" readingOrder="0"/>
      <protection locked="1" hidden="0"/>
    </xf>
    <xf numFmtId="169" fontId="22" fillId="0" borderId="0" xfId="0" applyNumberFormat="1" applyFont="1" applyFill="1" applyAlignment="1" applyProtection="1">
      <alignment horizontal="left" vertical="bottom" textRotation="0" indent="0"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theme" Target="theme/theme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38100</xdr:colOff>
      <xdr:row>0</xdr:row>
      <xdr:rowOff>38100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I60"/>
  <sheetViews>
    <sheetView showGridLines="0" tabSelected="1" workbookViewId="0"/>
  </sheetViews>
  <sheetFormatPr defaultColWidth="8.42578125" defaultRowHeight="15"/>
  <cols>
    <col min="1" max="1" width="2" customWidth="1"/>
    <col min="2" max="2" width="32" customWidth="1"/>
    <col min="3" max="8" width="12" customWidth="1"/>
    <col min="9" max="9" width="70" customWidth="1"/>
  </cols>
  <sheetData>
    <row r="1" ht="51">
      <c r="A1" s="1"/>
      <c r="B1" s="1"/>
      <c r="C1" s="1"/>
      <c r="D1" s="1"/>
      <c r="E1" s="1"/>
      <c r="F1" s="1"/>
      <c r="G1" s="1"/>
      <c r="H1" s="1"/>
      <c r="I1" s="1"/>
    </row>
    <row r="2">
      <c r="A2" s="1"/>
      <c r="B2" s="28" t="s">
        <v>0</v>
      </c>
      <c r="C2" s="1"/>
      <c r="D2" s="1"/>
      <c r="E2" s="1"/>
      <c r="F2" s="1"/>
      <c r="G2" s="1"/>
      <c r="H2" s="1"/>
      <c r="I2" s="1"/>
    </row>
    <row r="3">
      <c r="A3" s="1"/>
      <c r="B3" s="14" t="s">
        <v>1</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4" t="s">
        <v>9</v>
      </c>
      <c r="I6" s="13" t="s">
        <v>10</v>
      </c>
    </row>
    <row r="7">
      <c r="A7" s="1"/>
      <c r="B7" s="6" t="s">
        <v>11</v>
      </c>
      <c r="C7" s="5">
        <v>45900</v>
      </c>
      <c r="D7" s="5">
        <v>45991</v>
      </c>
      <c r="E7" s="5">
        <v>46081</v>
      </c>
      <c r="F7" s="5">
        <v>46173</v>
      </c>
      <c r="G7" s="5">
        <v>46173</v>
      </c>
      <c r="H7" s="5">
        <v>46265</v>
      </c>
      <c r="I7" s="6"/>
    </row>
    <row r="8">
      <c r="A8" s="1"/>
      <c r="B8" s="11" t="s">
        <v>12</v>
      </c>
      <c r="C8" s="9">
        <v>92</v>
      </c>
      <c r="D8" s="9">
        <v>91</v>
      </c>
      <c r="E8" s="9">
        <v>90</v>
      </c>
      <c r="F8" s="9">
        <v>92</v>
      </c>
      <c r="G8" s="9">
        <v>365</v>
      </c>
      <c r="H8" s="9">
        <v>92</v>
      </c>
      <c r="I8" s="11"/>
    </row>
    <row r="9">
      <c r="A9" s="1"/>
      <c r="B9" s="1"/>
      <c r="C9" s="1"/>
      <c r="D9" s="1"/>
      <c r="E9" s="1"/>
      <c r="F9" s="1"/>
      <c r="G9" s="1"/>
      <c r="H9" s="1"/>
      <c r="I9" s="1"/>
    </row>
    <row r="10">
      <c r="A10" s="1"/>
      <c r="B10" s="30" t="s">
        <v>13</v>
      </c>
      <c r="C10" s="7"/>
      <c r="D10" s="7"/>
      <c r="E10" s="7"/>
      <c r="F10" s="7"/>
      <c r="G10" s="7"/>
      <c r="H10" s="7"/>
      <c r="I10" s="2"/>
    </row>
    <row r="11">
      <c r="A11" s="1"/>
      <c r="B11" s="1" t="s">
        <v>14</v>
      </c>
      <c r="C11" s="7"/>
      <c r="D11" s="7"/>
      <c r="E11" s="7"/>
      <c r="F11" s="7"/>
      <c r="G11" s="7"/>
      <c r="H11" s="7"/>
      <c r="I11" s="2"/>
    </row>
    <row r="12">
      <c r="A12" s="1"/>
      <c r="B12" s="1"/>
      <c r="C12" s="7"/>
      <c r="D12" s="7"/>
      <c r="E12" s="7"/>
      <c r="F12" s="7"/>
      <c r="G12" s="7"/>
      <c r="H12" s="7"/>
      <c r="I12" s="2"/>
    </row>
    <row r="13">
      <c r="A13" s="1"/>
      <c r="B13" s="1" t="s">
        <v>15</v>
      </c>
      <c r="C13" s="16" t="s">
        <v>16</v>
      </c>
      <c r="D13" s="16"/>
      <c r="E13" s="16"/>
      <c r="F13" s="16"/>
      <c r="G13" s="16"/>
      <c r="H13" s="16"/>
      <c r="I13" s="2"/>
    </row>
    <row r="14">
      <c r="A14" s="1"/>
      <c r="B14" s="1" t="s">
        <v>17</v>
      </c>
      <c r="C14" s="16" t="s">
        <v>18</v>
      </c>
      <c r="D14" s="16"/>
      <c r="E14" s="16"/>
      <c r="F14" s="16"/>
      <c r="G14" s="16"/>
      <c r="H14" s="16"/>
      <c r="I14" s="2"/>
    </row>
    <row r="15">
      <c r="A15" s="1"/>
      <c r="B15" s="1" t="s">
        <v>19</v>
      </c>
      <c r="C15" s="16" t="s">
        <v>20</v>
      </c>
      <c r="D15" s="16"/>
      <c r="E15" s="16"/>
      <c r="F15" s="16"/>
      <c r="G15" s="16"/>
      <c r="H15" s="16"/>
      <c r="I15" s="2"/>
    </row>
    <row r="16">
      <c r="A16" s="1"/>
      <c r="B16" s="1" t="s">
        <v>21</v>
      </c>
      <c r="C16" s="16" t="s">
        <v>22</v>
      </c>
      <c r="D16" s="16"/>
      <c r="E16" s="16"/>
      <c r="F16" s="16"/>
      <c r="G16" s="16"/>
      <c r="H16" s="16"/>
      <c r="I16" s="2"/>
    </row>
    <row r="17">
      <c r="A17" s="1"/>
      <c r="B17" s="1" t="s">
        <v>23</v>
      </c>
      <c r="C17" s="16" t="s">
        <v>24</v>
      </c>
      <c r="D17" s="16"/>
      <c r="E17" s="16"/>
      <c r="F17" s="16"/>
      <c r="G17" s="16"/>
      <c r="H17" s="16"/>
      <c r="I17" s="2"/>
    </row>
    <row r="18">
      <c r="A18" s="1"/>
      <c r="B18" s="1" t="s">
        <v>25</v>
      </c>
      <c r="C18" s="16" t="s">
        <v>26</v>
      </c>
      <c r="D18" s="16"/>
      <c r="E18" s="16"/>
      <c r="F18" s="16"/>
      <c r="G18" s="16"/>
      <c r="H18" s="16"/>
      <c r="I18" s="2"/>
    </row>
    <row r="19">
      <c r="A19" s="1"/>
      <c r="B19" s="1" t="s">
        <v>27</v>
      </c>
      <c r="C19" s="16" t="s">
        <v>28</v>
      </c>
      <c r="D19" s="16"/>
      <c r="E19" s="16"/>
      <c r="F19" s="16"/>
      <c r="G19" s="16"/>
      <c r="H19" s="16"/>
      <c r="I19" s="2"/>
    </row>
    <row r="20" ht="26.25">
      <c r="A20" s="1"/>
      <c r="B20" s="1" t="s">
        <v>29</v>
      </c>
      <c r="C20" s="16" t="s">
        <v>30</v>
      </c>
      <c r="D20" s="16"/>
      <c r="E20" s="16"/>
      <c r="F20" s="16"/>
      <c r="G20" s="16"/>
      <c r="H20" s="16"/>
      <c r="I20" s="85" t="s">
        <v>31</v>
      </c>
    </row>
    <row r="21">
      <c r="A21" s="1"/>
      <c r="B21" s="1"/>
      <c r="C21" s="7"/>
      <c r="D21" s="7"/>
      <c r="E21" s="7"/>
      <c r="F21" s="7"/>
      <c r="G21" s="7"/>
      <c r="H21" s="7"/>
      <c r="I21" s="85"/>
    </row>
    <row r="22" ht="14.624267578125">
      <c r="A22" s="1"/>
      <c r="B22" s="15" t="s">
        <v>32</v>
      </c>
      <c r="C22" s="12" t="s">
        <v>33</v>
      </c>
      <c r="D22" s="12" t="s">
        <v>34</v>
      </c>
      <c r="E22" s="12" t="s">
        <v>35</v>
      </c>
      <c r="F22" s="12" t="s">
        <v>36</v>
      </c>
      <c r="G22" s="12" t="s">
        <v>37</v>
      </c>
      <c r="H22" s="12" t="s">
        <v>38</v>
      </c>
      <c r="I22" s="85"/>
    </row>
    <row r="23" ht="14.624267578125">
      <c r="A23" s="1"/>
      <c r="B23" s="1" t="s">
        <v>39</v>
      </c>
      <c r="C23" s="20">
        <f>'Income Statement'!H14</f>
        <v>203.69277347826085</v>
      </c>
      <c r="D23" s="20">
        <f>Inputs!C29</f>
        <v>124.57</v>
      </c>
      <c r="E23" s="3">
        <f>C23-D23</f>
        <v>79.12277347826085</v>
      </c>
      <c r="F23" s="23">
        <f>E23/ABS(D23)</f>
        <v>0.6351671628663471</v>
      </c>
      <c r="G23" s="7" t="s">
        <v>40</v>
      </c>
      <c r="H23" s="8">
        <v>134.86</v>
      </c>
      <c r="I23" s="85" t="s">
        <v>41</v>
      </c>
    </row>
    <row r="24" ht="39">
      <c r="A24" s="1"/>
      <c r="B24" s="1" t="s">
        <v>42</v>
      </c>
      <c r="C24" s="20">
        <f>'Income Statement'!H76</f>
        <v>18.937781970607848</v>
      </c>
      <c r="D24" s="20">
        <f>Inputs!C76</f>
        <v>-90.6</v>
      </c>
      <c r="E24" s="3">
        <f>C24-D24</f>
        <v>109.53778197060784</v>
      </c>
      <c r="F24" s="23">
        <f>E24/ABS(D24)</f>
        <v>1.2090262910663117</v>
      </c>
      <c r="G24" s="7" t="s">
        <v>40</v>
      </c>
      <c r="H24" s="3" t="s">
        <v>40</v>
      </c>
      <c r="I24" s="85" t="s">
        <v>43</v>
      </c>
    </row>
    <row r="25" ht="26.25">
      <c r="A25" s="1"/>
      <c r="B25" s="1" t="s">
        <v>44</v>
      </c>
      <c r="C25" s="26">
        <f>'Income Statement'!H82</f>
        <v>0.0570796796972911</v>
      </c>
      <c r="D25" s="26">
        <f>Inputs!C27</f>
        <v>-0.3</v>
      </c>
      <c r="E25" s="32">
        <f>C25-D25</f>
        <v>0.3570796796972911</v>
      </c>
      <c r="F25" s="23">
        <f>E25/ABS(D25)</f>
        <v>1.1902655989909703</v>
      </c>
      <c r="G25" s="7" t="s">
        <v>40</v>
      </c>
      <c r="H25" s="87">
        <v>-0.2954</v>
      </c>
      <c r="I25" s="85" t="s">
        <v>45</v>
      </c>
    </row>
    <row r="26" ht="14.624267578125">
      <c r="A26" s="1"/>
      <c r="B26" s="1" t="s">
        <v>46</v>
      </c>
      <c r="C26" s="20">
        <f>'Income Statement'!H48</f>
        <v>-92.19463821118205</v>
      </c>
      <c r="D26" s="20">
        <f>Inputs!C77</f>
        <v>-82.35</v>
      </c>
      <c r="E26" s="3">
        <f>C26-D26</f>
        <v>-9.844638211182058</v>
      </c>
      <c r="F26" s="23">
        <f>E26/ABS(D26)</f>
        <v>-0.11954630493238687</v>
      </c>
      <c r="G26" s="7" t="s">
        <v>40</v>
      </c>
      <c r="H26" s="3" t="s">
        <v>40</v>
      </c>
      <c r="I26" s="85" t="s">
        <v>47</v>
      </c>
    </row>
    <row r="27" ht="14.624267578125">
      <c r="A27" s="1"/>
      <c r="B27" s="33" t="s">
        <v>48</v>
      </c>
      <c r="C27" s="24">
        <f>'Income Statement'!H54</f>
        <v>-0.31815609953544455</v>
      </c>
      <c r="D27" s="24">
        <f>Inputs!C56</f>
        <v>-0.28</v>
      </c>
      <c r="E27" s="22">
        <f>C27-D27</f>
        <v>-0.03815609953544452</v>
      </c>
      <c r="F27" s="31">
        <f>E27/ABS(D27)</f>
        <v>-0.136271784055159</v>
      </c>
      <c r="G27" s="18" t="s">
        <v>40</v>
      </c>
      <c r="H27" s="22" t="s">
        <v>40</v>
      </c>
      <c r="I27" s="85" t="s">
        <v>49</v>
      </c>
    </row>
    <row r="28" ht="14.624267578125">
      <c r="A28" s="1"/>
      <c r="B28" s="14" t="s">
        <v>50</v>
      </c>
      <c r="C28" s="34">
        <f>Inputs!C122</f>
        <v>0.94</v>
      </c>
      <c r="D28" s="7"/>
      <c r="E28" s="7"/>
      <c r="F28" s="7"/>
      <c r="G28" s="7"/>
      <c r="H28" s="7"/>
      <c r="I28" s="85" t="s">
        <v>51</v>
      </c>
    </row>
    <row r="29" ht="14.624267578125">
      <c r="A29" s="1"/>
      <c r="B29" s="14" t="s">
        <v>52</v>
      </c>
      <c r="C29" s="27" t="str">
        <f>Inputs!C124</f>
        <v>medium</v>
      </c>
      <c r="D29" s="7"/>
      <c r="E29" s="7"/>
      <c r="F29" s="7"/>
      <c r="G29" s="7"/>
      <c r="H29" s="7"/>
      <c r="I29" s="85" t="s">
        <v>53</v>
      </c>
    </row>
    <row r="30" ht="49.5">
      <c r="A30" s="1"/>
      <c r="B30" s="14" t="s">
        <v>54</v>
      </c>
      <c r="C30" s="27" t="str">
        <f>IF(AND(COUNT('Revenue summary'!C57:G57)=5,(SUMIF('Revenue summary'!C57:G57,"&gt;0")-SUMIF('Revenue summary'!C57:G57,"&lt;0"))=0,COUNT('Balance Sheet'!C60:H60)=6,(SUMIF('Balance Sheet'!C60:H60,"&gt;0")-SUMIF('Balance Sheet'!C60:H60,"&lt;0"))=0,COUNT('Balance Sheet'!C23:F23)=4,(SUMIF('Balance Sheet'!C23:F23,"&gt;0")-SUMIF('Balance Sheet'!C23:F23,"&lt;0"))=0,COUNT('Cash Flow Statement'!C40:G40)=5,(SUMIF('Cash Flow Statement'!C40:G40,"&gt;0")-SUMIF('Cash Flow Statement'!C40:G40,"&lt;0"))=0,COUNT('Cash Flow Statement'!C41:F41)=4,(SUMIF('Cash Flow Statement'!C41:F41,"&gt;0")-SUMIF('Cash Flow Statement'!C41:F41,"&lt;0"))=0,COUNT('Income Statement'!C132:D132)=2,(SUMIF('Income Statement'!C132:D132,"&gt;0")-SUMIF('Income Statement'!C132:D132,"&lt;0"))=0,COUNT('Segment - HPC Hosting'!C143:G143)=5,(SUMIF('Segment - HPC Hosting'!C143:G143,"&gt;0")-SUMIF('Segment - HPC Hosting'!C143:G143,"&lt;0"))&lt;0.01,COUNT('Segment - DC Hosting'!C67:G67)=5,(SUMIF('Segment - DC Hosting'!C67:G67,"&gt;0")-SUMIF('Segment - DC Hosting'!C67:G67,"&lt;0"))&lt;0.01),"PASS","FAIL")</f>
        <v>PASS</v>
      </c>
      <c r="D30" s="7"/>
      <c r="E30" s="7"/>
      <c r="F30" s="7"/>
      <c r="G30" s="7"/>
      <c r="H30" s="7"/>
      <c r="I30" s="85" t="s">
        <v>55</v>
      </c>
    </row>
    <row r="31" ht="20.25">
      <c r="A31" s="1"/>
      <c r="B31" s="1" t="s">
        <v>56</v>
      </c>
      <c r="C31" s="19">
        <f>Inputs!C52</f>
        <v>4</v>
      </c>
      <c r="D31" s="7"/>
      <c r="E31" s="7"/>
      <c r="F31" s="7"/>
      <c r="G31" s="7"/>
      <c r="H31" s="7"/>
      <c r="I31" s="85" t="s">
        <v>57</v>
      </c>
    </row>
    <row r="32">
      <c r="A32" s="1"/>
      <c r="B32" s="1" t="s">
        <v>58</v>
      </c>
      <c r="C32" s="90">
        <f>D24/D25</f>
        <v>302</v>
      </c>
      <c r="D32" s="7"/>
      <c r="E32" s="7"/>
      <c r="F32" s="7"/>
      <c r="G32" s="7"/>
      <c r="H32" s="7"/>
      <c r="I32" s="85" t="s">
        <v>59</v>
      </c>
    </row>
    <row r="33" ht="14.624267578125">
      <c r="A33" s="1"/>
      <c r="B33" s="1" t="s">
        <v>60</v>
      </c>
      <c r="C33" s="20">
        <f>ROUND(C23-'Income Statement'!H14,6)+ROUND(C24-'Income Statement'!H76,6)+ROUND(C25-'Income Statement'!H82,6)</f>
        <v>0</v>
      </c>
      <c r="D33" s="7"/>
      <c r="E33" s="7"/>
      <c r="F33" s="7"/>
      <c r="G33" s="7"/>
      <c r="H33" s="7"/>
      <c r="I33" s="85" t="s">
        <v>61</v>
      </c>
    </row>
    <row r="34">
      <c r="A34" s="1"/>
      <c r="B34" s="1"/>
      <c r="C34" s="7"/>
      <c r="D34" s="7"/>
      <c r="E34" s="7"/>
      <c r="F34" s="7"/>
      <c r="G34" s="7"/>
      <c r="H34" s="7"/>
      <c r="I34" s="85"/>
    </row>
    <row r="35" ht="37.5">
      <c r="A35" s="1"/>
      <c r="B35" s="1" t="s">
        <v>62</v>
      </c>
      <c r="C35" s="7"/>
      <c r="D35" s="7"/>
      <c r="E35" s="7"/>
      <c r="F35" s="7"/>
      <c r="G35" s="7"/>
      <c r="H35" s="7"/>
      <c r="I35" s="85" t="s">
        <v>63</v>
      </c>
    </row>
    <row r="36" ht="26.25">
      <c r="A36" s="1"/>
      <c r="B36" s="1" t="s">
        <v>64</v>
      </c>
      <c r="C36" s="7"/>
      <c r="D36" s="7"/>
      <c r="E36" s="7"/>
      <c r="F36" s="7"/>
      <c r="G36" s="7"/>
      <c r="H36" s="7"/>
      <c r="I36" s="85" t="s">
        <v>65</v>
      </c>
    </row>
    <row r="37" ht="37.5">
      <c r="A37" s="1"/>
      <c r="B37" s="1" t="s">
        <v>66</v>
      </c>
      <c r="C37" s="7"/>
      <c r="D37" s="7"/>
      <c r="E37" s="7"/>
      <c r="F37" s="7"/>
      <c r="G37" s="7"/>
      <c r="H37" s="7"/>
      <c r="I37" s="85" t="s">
        <v>67</v>
      </c>
    </row>
    <row r="38" ht="26.25">
      <c r="A38" s="1"/>
      <c r="B38" s="1" t="s">
        <v>68</v>
      </c>
      <c r="C38" s="7"/>
      <c r="D38" s="7"/>
      <c r="E38" s="7"/>
      <c r="F38" s="7"/>
      <c r="G38" s="7"/>
      <c r="H38" s="7"/>
      <c r="I38" s="85" t="s">
        <v>69</v>
      </c>
    </row>
    <row r="39">
      <c r="A39" s="1"/>
      <c r="B39" s="1"/>
      <c r="C39" s="7"/>
      <c r="D39" s="7"/>
      <c r="E39" s="7"/>
      <c r="F39" s="7"/>
      <c r="G39" s="7"/>
      <c r="H39" s="7"/>
      <c r="I39" s="2"/>
    </row>
    <row r="40">
      <c r="A40" s="1"/>
      <c r="B40" s="1"/>
      <c r="C40" s="7"/>
      <c r="D40" s="7"/>
      <c r="E40" s="7"/>
      <c r="F40" s="7"/>
      <c r="G40" s="7"/>
      <c r="H40" s="7"/>
      <c r="I40" s="2"/>
    </row>
    <row r="41">
      <c r="A41" s="1"/>
      <c r="B41" s="1"/>
      <c r="C41" s="7"/>
      <c r="D41" s="7"/>
      <c r="E41" s="7"/>
      <c r="F41" s="7"/>
      <c r="G41" s="7"/>
      <c r="H41" s="7"/>
      <c r="I41" s="2"/>
    </row>
    <row r="42">
      <c r="I42" s="17"/>
    </row>
    <row r="43">
      <c r="I43" s="17"/>
    </row>
    <row r="44">
      <c r="I44" s="17"/>
    </row>
    <row r="45">
      <c r="I45" s="17"/>
    </row>
    <row r="46">
      <c r="I46" s="17"/>
    </row>
    <row r="47">
      <c r="I47" s="17"/>
    </row>
    <row r="48">
      <c r="I48" s="17"/>
    </row>
    <row r="49">
      <c r="I49" s="17"/>
    </row>
    <row r="50">
      <c r="I50" s="17"/>
    </row>
    <row r="51">
      <c r="I51" s="17"/>
    </row>
    <row r="52">
      <c r="I52" s="17"/>
    </row>
    <row r="53">
      <c r="I53" s="17"/>
    </row>
    <row r="54">
      <c r="I54" s="17"/>
    </row>
    <row r="55">
      <c r="I55" s="17"/>
    </row>
    <row r="56">
      <c r="I56" s="17"/>
    </row>
    <row r="57">
      <c r="I57" s="17"/>
    </row>
    <row r="58">
      <c r="I58" s="17"/>
    </row>
    <row r="59">
      <c r="I59" s="17"/>
    </row>
    <row r="60">
      <c r="I60" s="17"/>
    </row>
  </sheetData>
  <drawing r:id="rId1"/>
</worksheet>
</file>

<file path=xl/worksheets/sheet2.xml><?xml version="1.0" encoding="utf-8"?>
<worksheet xmlns="http://schemas.openxmlformats.org/spreadsheetml/2006/main" xmlns:r="http://schemas.openxmlformats.org/officeDocument/2006/relationships">
  <dimension ref="A1:I68"/>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70</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71</v>
      </c>
      <c r="C10" s="35"/>
      <c r="D10" s="35"/>
      <c r="E10" s="35"/>
      <c r="F10" s="35"/>
      <c r="G10" s="35"/>
      <c r="H10" s="36"/>
      <c r="I10" s="2"/>
    </row>
    <row r="11">
      <c r="A11" s="1"/>
      <c r="B11" s="14" t="s">
        <v>72</v>
      </c>
      <c r="C11" s="48">
        <f>'Segment - HPC Hosting'!C95</f>
        <v>26.296</v>
      </c>
      <c r="D11" s="48">
        <f>'Segment - HPC Hosting'!D95</f>
        <v>84.992</v>
      </c>
      <c r="E11" s="48">
        <f>'Segment - HPC Hosting'!E95</f>
        <v>71.008</v>
      </c>
      <c r="F11" s="48">
        <f>'Segment - HPC Hosting'!F95</f>
        <v>203.00799999999998</v>
      </c>
      <c r="G11" s="48">
        <f>'Segment - HPC Hosting'!G95</f>
        <v>385.304</v>
      </c>
      <c r="H11" s="62">
        <f>'Segment - HPC Hosting'!H95</f>
        <v>147.30189347826087</v>
      </c>
      <c r="I11" s="2" t="s">
        <v>73</v>
      </c>
    </row>
    <row r="12">
      <c r="A12" s="1"/>
      <c r="B12" s="1" t="s">
        <v>74</v>
      </c>
      <c r="C12" s="20">
        <f>'Segment - HPC Hosting'!C96</f>
        <v>0</v>
      </c>
      <c r="D12" s="20">
        <f>'Segment - HPC Hosting'!D96</f>
        <v>0</v>
      </c>
      <c r="E12" s="20">
        <f>'Segment - HPC Hosting'!E96</f>
        <v>0</v>
      </c>
      <c r="F12" s="20">
        <f>'Segment - HPC Hosting'!F96</f>
        <v>0</v>
      </c>
      <c r="G12" s="20">
        <f>'Segment - HPC Hosting'!G96</f>
        <v>0</v>
      </c>
      <c r="H12" s="58">
        <f>'Segment - HPC Hosting'!H96</f>
        <v>26.296</v>
      </c>
      <c r="I12" s="2"/>
    </row>
    <row r="13">
      <c r="A13" s="1"/>
      <c r="B13" s="25" t="s">
        <v>75</v>
      </c>
      <c r="C13" s="23" t="str">
        <f>IF(C12=0,"n/m",C11/C12-1)</f>
        <v>n/m</v>
      </c>
      <c r="D13" s="23" t="str">
        <f>IF(D12=0,"n/m",D11/D12-1)</f>
        <v>n/m</v>
      </c>
      <c r="E13" s="23" t="str">
        <f>IF(E12=0,"n/m",E11/E12-1)</f>
        <v>n/m</v>
      </c>
      <c r="F13" s="23" t="str">
        <f>IF(F12=0,"n/m",F11/F12-1)</f>
        <v>n/m</v>
      </c>
      <c r="G13" s="23" t="str">
        <f>IF(G12=0,"n/m",G11/G12-1)</f>
        <v>n/m</v>
      </c>
      <c r="H13" s="50">
        <f>IF(H12=0,"n/m",H11/H12-1)</f>
        <v>4.601684418856894</v>
      </c>
      <c r="I13" s="2"/>
    </row>
    <row r="14">
      <c r="A14" s="1"/>
      <c r="B14" s="25" t="s">
        <v>76</v>
      </c>
      <c r="C14" s="23" t="str">
        <f>IF(F12=0,"n/m",C11/F12-1)</f>
        <v>n/m</v>
      </c>
      <c r="D14" s="23">
        <f>IFERROR(IF(C11=0,"n/m",D11/C11-1),"n/a")</f>
        <v>2.232126559172498</v>
      </c>
      <c r="E14" s="23">
        <f>IFERROR(IF(D11=0,"n/m",E11/D11-1),"n/a")</f>
        <v>-0.16453313253012058</v>
      </c>
      <c r="F14" s="23">
        <f>IFERROR(IF(E11=0,"n/m",F11/E11-1),"n/a")</f>
        <v>1.8589454709328526</v>
      </c>
      <c r="G14" s="23" t="s">
        <v>40</v>
      </c>
      <c r="H14" s="50">
        <f>IFERROR(IF(F11=0,"n/m",H11/F11-1),"n/a")</f>
        <v>-0.2744035039098909</v>
      </c>
      <c r="I14" s="2"/>
    </row>
    <row r="15">
      <c r="A15" s="1"/>
      <c r="B15" s="25" t="s">
        <v>77</v>
      </c>
      <c r="C15" s="23">
        <f>C11/C45</f>
        <v>0.3249026996972879</v>
      </c>
      <c r="D15" s="23">
        <f>D11/D45</f>
        <v>0.5861881082274073</v>
      </c>
      <c r="E15" s="23">
        <f>E11/E45</f>
        <v>0.5607208003979879</v>
      </c>
      <c r="F15" s="23">
        <f>F11/F45</f>
        <v>0.7845780450476911</v>
      </c>
      <c r="G15" s="23">
        <f>G11/G45</f>
        <v>0.6302912919937642</v>
      </c>
      <c r="H15" s="50">
        <f>H11/H45</f>
        <v>0.7231571889514367</v>
      </c>
      <c r="I15" s="2"/>
    </row>
    <row r="16">
      <c r="A16" s="1"/>
      <c r="B16" s="25" t="s">
        <v>78</v>
      </c>
      <c r="C16" s="45">
        <v>0</v>
      </c>
      <c r="D16" s="45">
        <v>0</v>
      </c>
      <c r="E16" s="45">
        <v>0</v>
      </c>
      <c r="F16" s="45">
        <v>0</v>
      </c>
      <c r="G16" s="45">
        <v>0</v>
      </c>
      <c r="H16" s="46">
        <v>0</v>
      </c>
      <c r="I16" s="2" t="s">
        <v>79</v>
      </c>
    </row>
    <row r="17">
      <c r="A17" s="1"/>
      <c r="B17" s="25" t="s">
        <v>80</v>
      </c>
      <c r="C17" s="45">
        <v>0</v>
      </c>
      <c r="D17" s="45">
        <v>0</v>
      </c>
      <c r="E17" s="45">
        <v>0</v>
      </c>
      <c r="F17" s="45">
        <v>0</v>
      </c>
      <c r="G17" s="45">
        <v>0</v>
      </c>
      <c r="H17" s="46">
        <v>0</v>
      </c>
      <c r="I17" s="2" t="s">
        <v>81</v>
      </c>
    </row>
    <row r="18">
      <c r="A18" s="1"/>
      <c r="B18" s="25" t="s">
        <v>82</v>
      </c>
      <c r="C18" s="23" t="str">
        <f>IFERROR((1+C13)/((1+C16)*(1+C17))-1,"n/m")</f>
        <v>n/m</v>
      </c>
      <c r="D18" s="23" t="str">
        <f>IFERROR((1+D13)/((1+D16)*(1+D17))-1,"n/m")</f>
        <v>n/m</v>
      </c>
      <c r="E18" s="23" t="str">
        <f>IFERROR((1+E13)/((1+E16)*(1+E17))-1,"n/m")</f>
        <v>n/m</v>
      </c>
      <c r="F18" s="23" t="str">
        <f>IFERROR((1+F13)/((1+F16)*(1+F17))-1,"n/m")</f>
        <v>n/m</v>
      </c>
      <c r="G18" s="23" t="str">
        <f>IFERROR((1+G13)/((1+G16)*(1+G17))-1,"n/m")</f>
        <v>n/m</v>
      </c>
      <c r="H18" s="50">
        <f>IFERROR((1+H13)/((1+H16)*(1+H17))-1,"n/m")</f>
        <v>4.601684418856894</v>
      </c>
      <c r="I18" s="2"/>
    </row>
    <row r="19">
      <c r="A19" s="1"/>
      <c r="B19" s="25" t="s">
        <v>83</v>
      </c>
      <c r="C19" s="23" t="str">
        <f>C13</f>
        <v>n/m</v>
      </c>
      <c r="D19" s="23" t="str">
        <f>D13</f>
        <v>n/m</v>
      </c>
      <c r="E19" s="23" t="str">
        <f>E13</f>
        <v>n/m</v>
      </c>
      <c r="F19" s="23" t="str">
        <f>F13</f>
        <v>n/m</v>
      </c>
      <c r="G19" s="23" t="str">
        <f>G13</f>
        <v>n/m</v>
      </c>
      <c r="H19" s="50">
        <f>H13</f>
        <v>4.601684418856894</v>
      </c>
      <c r="I19" s="2"/>
    </row>
    <row r="20">
      <c r="A20" s="1"/>
      <c r="B20" s="14" t="s">
        <v>84</v>
      </c>
      <c r="C20" s="48">
        <f>'Segment - DC Hosting'!C44</f>
        <v>37.921</v>
      </c>
      <c r="D20" s="48">
        <f>'Segment - DC Hosting'!D44</f>
        <v>41.597</v>
      </c>
      <c r="E20" s="48">
        <f>'Segment - DC Hosting'!E44</f>
        <v>37.542</v>
      </c>
      <c r="F20" s="48">
        <f>'Segment - DC Hosting'!F44</f>
        <v>37.343999999999994</v>
      </c>
      <c r="G20" s="48">
        <f>'Segment - DC Hosting'!G44</f>
        <v>154.404</v>
      </c>
      <c r="H20" s="62">
        <f>'Segment - DC Hosting'!H44</f>
        <v>37.443</v>
      </c>
      <c r="I20" s="2" t="s">
        <v>85</v>
      </c>
    </row>
    <row r="21">
      <c r="A21" s="1"/>
      <c r="B21" s="1" t="s">
        <v>74</v>
      </c>
      <c r="C21" s="20">
        <f>'Segment - DC Hosting'!C45</f>
        <v>34.849</v>
      </c>
      <c r="D21" s="20">
        <f>'Segment - DC Hosting'!D45</f>
        <v>36.163</v>
      </c>
      <c r="E21" s="20">
        <f>'Segment - DC Hosting'!E45</f>
        <v>35.167</v>
      </c>
      <c r="F21" s="20">
        <f>'Segment - DC Hosting'!F45</f>
        <v>38.013</v>
      </c>
      <c r="G21" s="20">
        <f>'Segment - DC Hosting'!G45</f>
        <v>144.192</v>
      </c>
      <c r="H21" s="58">
        <f>'Segment - DC Hosting'!H45</f>
        <v>37.921</v>
      </c>
      <c r="I21" s="2"/>
    </row>
    <row r="22">
      <c r="A22" s="1"/>
      <c r="B22" s="25" t="s">
        <v>75</v>
      </c>
      <c r="C22" s="23">
        <f>IF(C21=0,"n/m",C20/C21-1)</f>
        <v>0.08815174036557738</v>
      </c>
      <c r="D22" s="23">
        <f>IF(D21=0,"n/m",D20/D21-1)</f>
        <v>0.15026408207283692</v>
      </c>
      <c r="E22" s="23">
        <f>IF(E21=0,"n/m",E20/E21-1)</f>
        <v>0.06753490488241809</v>
      </c>
      <c r="F22" s="23">
        <f>IF(F21=0,"n/m",F20/F21-1)</f>
        <v>-0.017599242364454426</v>
      </c>
      <c r="G22" s="23">
        <f>IF(G21=0,"n/m",G20/G21-1)</f>
        <v>0.07082223701731016</v>
      </c>
      <c r="H22" s="50">
        <f>IF(H21=0,"n/m",H20/H21-1)</f>
        <v>-0.012605152817700027</v>
      </c>
      <c r="I22" s="2"/>
    </row>
    <row r="23">
      <c r="A23" s="1"/>
      <c r="B23" s="25" t="s">
        <v>76</v>
      </c>
      <c r="C23" s="23">
        <f>IF(F21=0,"n/m",C20/F21-1)</f>
        <v>-0.0024202246599847044</v>
      </c>
      <c r="D23" s="23">
        <f>IFERROR(IF(C20=0,"n/m",D20/C20-1),"n/a")</f>
        <v>0.09693837187837873</v>
      </c>
      <c r="E23" s="23">
        <f>IFERROR(IF(D20=0,"n/m",E20/D20-1),"n/a")</f>
        <v>-0.09748299156189144</v>
      </c>
      <c r="F23" s="23">
        <f>IFERROR(IF(E20=0,"n/m",F20/E20-1),"n/a")</f>
        <v>-0.00527409301582249</v>
      </c>
      <c r="G23" s="23" t="s">
        <v>40</v>
      </c>
      <c r="H23" s="50">
        <f>IFERROR(IF(F20=0,"n/m",H20/F20-1),"n/a")</f>
        <v>0.0026510282776350813</v>
      </c>
      <c r="I23" s="2"/>
    </row>
    <row r="24">
      <c r="A24" s="1"/>
      <c r="B24" s="25" t="s">
        <v>77</v>
      </c>
      <c r="C24" s="23">
        <f>C20/C45</f>
        <v>0.46853647989127073</v>
      </c>
      <c r="D24" s="23">
        <f>D20/D45</f>
        <v>0.2868936692622301</v>
      </c>
      <c r="E24" s="23">
        <f>E20/E45</f>
        <v>0.29645364309009214</v>
      </c>
      <c r="F24" s="23">
        <f>F20/F45</f>
        <v>0.14432575324253713</v>
      </c>
      <c r="G24" s="23">
        <f>G20/G45</f>
        <v>0.25257847478615636</v>
      </c>
      <c r="H24" s="50">
        <f>H20/H45</f>
        <v>0.18382095427649578</v>
      </c>
      <c r="I24" s="2"/>
    </row>
    <row r="25">
      <c r="A25" s="1"/>
      <c r="B25" s="25" t="s">
        <v>78</v>
      </c>
      <c r="C25" s="45">
        <v>0</v>
      </c>
      <c r="D25" s="45">
        <v>0</v>
      </c>
      <c r="E25" s="45">
        <v>0</v>
      </c>
      <c r="F25" s="45">
        <v>0</v>
      </c>
      <c r="G25" s="45">
        <v>0</v>
      </c>
      <c r="H25" s="46">
        <v>0</v>
      </c>
      <c r="I25" s="2" t="s">
        <v>79</v>
      </c>
    </row>
    <row r="26">
      <c r="A26" s="1"/>
      <c r="B26" s="25" t="s">
        <v>80</v>
      </c>
      <c r="C26" s="45">
        <v>0</v>
      </c>
      <c r="D26" s="45">
        <v>0</v>
      </c>
      <c r="E26" s="45">
        <v>0</v>
      </c>
      <c r="F26" s="45">
        <v>0</v>
      </c>
      <c r="G26" s="45">
        <v>0</v>
      </c>
      <c r="H26" s="46">
        <v>0</v>
      </c>
      <c r="I26" s="2" t="s">
        <v>81</v>
      </c>
    </row>
    <row r="27">
      <c r="A27" s="1"/>
      <c r="B27" s="25" t="s">
        <v>82</v>
      </c>
      <c r="C27" s="23">
        <f>IFERROR((1+C22)/((1+C25)*(1+C26))-1,"n/m")</f>
        <v>0.08815174036557738</v>
      </c>
      <c r="D27" s="23">
        <f>IFERROR((1+D22)/((1+D25)*(1+D26))-1,"n/m")</f>
        <v>0.15026408207283692</v>
      </c>
      <c r="E27" s="23">
        <f>IFERROR((1+E22)/((1+E25)*(1+E26))-1,"n/m")</f>
        <v>0.06753490488241809</v>
      </c>
      <c r="F27" s="23">
        <f>IFERROR((1+F22)/((1+F25)*(1+F26))-1,"n/m")</f>
        <v>-0.017599242364454426</v>
      </c>
      <c r="G27" s="23">
        <f>IFERROR((1+G22)/((1+G25)*(1+G26))-1,"n/m")</f>
        <v>0.07082223701731016</v>
      </c>
      <c r="H27" s="50">
        <f>IFERROR((1+H22)/((1+H25)*(1+H26))-1,"n/m")</f>
        <v>-0.012605152817700027</v>
      </c>
      <c r="I27" s="2"/>
    </row>
    <row r="28">
      <c r="A28" s="1"/>
      <c r="B28" s="25" t="s">
        <v>83</v>
      </c>
      <c r="C28" s="23">
        <f>C22</f>
        <v>0.08815174036557738</v>
      </c>
      <c r="D28" s="23">
        <f>D22</f>
        <v>0.15026408207283692</v>
      </c>
      <c r="E28" s="23">
        <f>E22</f>
        <v>0.06753490488241809</v>
      </c>
      <c r="F28" s="23">
        <f>F22</f>
        <v>-0.017599242364454426</v>
      </c>
      <c r="G28" s="23">
        <f>G22</f>
        <v>0.07082223701731016</v>
      </c>
      <c r="H28" s="50">
        <f>H22</f>
        <v>-0.012605152817700027</v>
      </c>
      <c r="I28" s="2"/>
    </row>
    <row r="29">
      <c r="A29" s="1"/>
      <c r="B29" s="1" t="s">
        <v>86</v>
      </c>
      <c r="C29" s="41" t="s">
        <v>40</v>
      </c>
      <c r="D29" s="41" t="s">
        <v>40</v>
      </c>
      <c r="E29" s="41" t="s">
        <v>40</v>
      </c>
      <c r="F29" s="63">
        <v>6144</v>
      </c>
      <c r="G29" s="41">
        <f>F29</f>
        <v>6144</v>
      </c>
      <c r="H29" s="51">
        <f>F29</f>
        <v>6144</v>
      </c>
      <c r="I29" s="2" t="s">
        <v>87</v>
      </c>
    </row>
    <row r="30">
      <c r="A30" s="1"/>
      <c r="B30" s="1" t="s">
        <v>88</v>
      </c>
      <c r="C30" s="41" t="s">
        <v>40</v>
      </c>
      <c r="D30" s="41" t="str">
        <f>IFERROR(D29-C29,"n/a")</f>
        <v>n/a</v>
      </c>
      <c r="E30" s="41" t="str">
        <f>IFERROR(E29-D29,"n/a")</f>
        <v>n/a</v>
      </c>
      <c r="F30" s="41" t="str">
        <f>IFERROR(F29-E29,"n/a")</f>
        <v>n/a</v>
      </c>
      <c r="G30" s="41" t="s">
        <v>40</v>
      </c>
      <c r="H30" s="51">
        <f>IFERROR(H29-F29,"n/a")</f>
        <v>0</v>
      </c>
      <c r="I30" s="2"/>
    </row>
    <row r="31">
      <c r="A31" s="1"/>
      <c r="B31" s="1" t="s">
        <v>89</v>
      </c>
      <c r="C31" s="41" t="s">
        <v>40</v>
      </c>
      <c r="D31" s="41" t="s">
        <v>40</v>
      </c>
      <c r="E31" s="41" t="s">
        <v>40</v>
      </c>
      <c r="F31" s="41" t="s">
        <v>40</v>
      </c>
      <c r="G31" s="41" t="s">
        <v>40</v>
      </c>
      <c r="H31" s="51" t="str">
        <f>IFERROR(H29-C29,"n/a")</f>
        <v>n/a</v>
      </c>
      <c r="I31" s="2"/>
    </row>
    <row r="32">
      <c r="A32" s="1"/>
      <c r="B32" s="1" t="s">
        <v>90</v>
      </c>
      <c r="C32" s="43" t="s">
        <v>40</v>
      </c>
      <c r="D32" s="43" t="s">
        <v>40</v>
      </c>
      <c r="E32" s="43" t="s">
        <v>40</v>
      </c>
      <c r="F32" s="43">
        <f>F36*1000/F29</f>
        <v>2.994140625</v>
      </c>
      <c r="G32" s="43" t="s">
        <v>40</v>
      </c>
      <c r="H32" s="55">
        <f>F32*(1+H33)</f>
        <v>3.08396484375</v>
      </c>
      <c r="I32" s="2"/>
    </row>
    <row r="33">
      <c r="A33" s="1"/>
      <c r="B33" s="25" t="s">
        <v>91</v>
      </c>
      <c r="C33" s="23"/>
      <c r="D33" s="23"/>
      <c r="E33" s="23"/>
      <c r="F33" s="23"/>
      <c r="G33" s="23"/>
      <c r="H33" s="46">
        <v>0.03</v>
      </c>
      <c r="I33" s="2" t="s">
        <v>92</v>
      </c>
    </row>
    <row r="34">
      <c r="A34" s="1"/>
      <c r="B34" s="1" t="s">
        <v>93</v>
      </c>
      <c r="C34" s="43" t="s">
        <v>40</v>
      </c>
      <c r="D34" s="43" t="str">
        <f>IFERROR(D32-C32,"n/a")</f>
        <v>n/a</v>
      </c>
      <c r="E34" s="43" t="str">
        <f>IFERROR(E32-D32,"n/a")</f>
        <v>n/a</v>
      </c>
      <c r="F34" s="43" t="str">
        <f>IFERROR(F32-E32,"n/a")</f>
        <v>n/a</v>
      </c>
      <c r="G34" s="43" t="s">
        <v>40</v>
      </c>
      <c r="H34" s="55">
        <f>IFERROR(H32-F32,"n/a")</f>
        <v>0.08982421875000002</v>
      </c>
      <c r="I34" s="2"/>
    </row>
    <row r="35">
      <c r="A35" s="1"/>
      <c r="B35" s="1" t="s">
        <v>94</v>
      </c>
      <c r="C35" s="43" t="s">
        <v>40</v>
      </c>
      <c r="D35" s="43" t="s">
        <v>40</v>
      </c>
      <c r="E35" s="43" t="s">
        <v>40</v>
      </c>
      <c r="F35" s="43" t="s">
        <v>40</v>
      </c>
      <c r="G35" s="43" t="s">
        <v>40</v>
      </c>
      <c r="H35" s="55" t="str">
        <f>IFERROR(H32-C32,"n/a")</f>
        <v>n/a</v>
      </c>
      <c r="I35" s="2"/>
    </row>
    <row r="36">
      <c r="A36" s="1"/>
      <c r="B36" s="14" t="s">
        <v>95</v>
      </c>
      <c r="C36" s="48">
        <f>'Income Statement'!C121</f>
        <v>16.718</v>
      </c>
      <c r="D36" s="48">
        <f>'Income Statement'!D121</f>
        <v>18.402</v>
      </c>
      <c r="E36" s="60">
        <v>18.087</v>
      </c>
      <c r="F36" s="60">
        <v>18.396</v>
      </c>
      <c r="G36" s="39">
        <f>SUM(C36:F36)</f>
        <v>71.60300000000001</v>
      </c>
      <c r="H36" s="40">
        <f>H29*H32/1000</f>
        <v>18.94788</v>
      </c>
      <c r="I36" s="2" t="s">
        <v>96</v>
      </c>
    </row>
    <row r="37">
      <c r="A37" s="1"/>
      <c r="B37" s="1" t="s">
        <v>74</v>
      </c>
      <c r="C37" s="8">
        <v>25.855</v>
      </c>
      <c r="D37" s="8">
        <v>27.705</v>
      </c>
      <c r="E37" s="8">
        <v>17.754</v>
      </c>
      <c r="F37" s="8">
        <v>13.063</v>
      </c>
      <c r="G37" s="3">
        <f>SUM(C37:F37)</f>
        <v>84.377</v>
      </c>
      <c r="H37" s="44">
        <f>C36</f>
        <v>16.718</v>
      </c>
      <c r="I37" s="2" t="s">
        <v>97</v>
      </c>
    </row>
    <row r="38">
      <c r="A38" s="1"/>
      <c r="B38" s="25" t="s">
        <v>75</v>
      </c>
      <c r="C38" s="23">
        <f>IF(C37=0,"n/m",C36/C37-1)</f>
        <v>-0.35339392767356415</v>
      </c>
      <c r="D38" s="23">
        <f>IF(D37=0,"n/m",D36/D37-1)</f>
        <v>-0.33578776394152676</v>
      </c>
      <c r="E38" s="23">
        <f>IF(E37=0,"n/m",E36/E37-1)</f>
        <v>0.018756336600202594</v>
      </c>
      <c r="F38" s="23">
        <f>IF(F37=0,"n/m",F36/F37-1)</f>
        <v>0.4082523157008344</v>
      </c>
      <c r="G38" s="23">
        <f>IF(G37=0,"n/m",G36/G37-1)</f>
        <v>-0.1513919670052264</v>
      </c>
      <c r="H38" s="50">
        <f>IF(H37=0,"n/m",H36/H37-1)</f>
        <v>0.1333819834908483</v>
      </c>
      <c r="I38" s="2"/>
    </row>
    <row r="39">
      <c r="A39" s="1"/>
      <c r="B39" s="25" t="s">
        <v>76</v>
      </c>
      <c r="C39" s="23">
        <f>IF(F37=0,"n/m",C36/F37-1)</f>
        <v>0.2797979024726325</v>
      </c>
      <c r="D39" s="23">
        <f>IFERROR(IF(C36=0,"n/m",D36/C36-1),"n/a")</f>
        <v>0.10072975236272286</v>
      </c>
      <c r="E39" s="23">
        <f>IFERROR(IF(D36=0,"n/m",E36/D36-1),"n/a")</f>
        <v>-0.017117704597326422</v>
      </c>
      <c r="F39" s="23">
        <f>IFERROR(IF(E36=0,"n/m",F36/E36-1),"n/a")</f>
        <v>0.01708409354785201</v>
      </c>
      <c r="G39" s="23" t="s">
        <v>40</v>
      </c>
      <c r="H39" s="50">
        <f>IFERROR(IF(F36=0,"n/m",H36/F36-1),"n/a")</f>
        <v>0.030000000000000027</v>
      </c>
      <c r="I39" s="2"/>
    </row>
    <row r="40">
      <c r="A40" s="1"/>
      <c r="B40" s="25" t="s">
        <v>77</v>
      </c>
      <c r="C40" s="23">
        <f>C36/C45</f>
        <v>0.20656082041144128</v>
      </c>
      <c r="D40" s="23">
        <f>D36/D45</f>
        <v>0.12691822251036272</v>
      </c>
      <c r="E40" s="23">
        <f>E36/E45</f>
        <v>0.1428255565119199</v>
      </c>
      <c r="F40" s="23">
        <f>F36/F45</f>
        <v>0.07109620170977167</v>
      </c>
      <c r="G40" s="23">
        <f>G36/G45</f>
        <v>0.1171302332200795</v>
      </c>
      <c r="H40" s="50">
        <f>H36/H45</f>
        <v>0.09302185677206766</v>
      </c>
      <c r="I40" s="2"/>
    </row>
    <row r="41">
      <c r="A41" s="1"/>
      <c r="B41" s="25" t="s">
        <v>78</v>
      </c>
      <c r="C41" s="45">
        <v>0</v>
      </c>
      <c r="D41" s="45">
        <v>0</v>
      </c>
      <c r="E41" s="45">
        <v>0</v>
      </c>
      <c r="F41" s="45">
        <v>0</v>
      </c>
      <c r="G41" s="45">
        <v>0</v>
      </c>
      <c r="H41" s="46">
        <v>0</v>
      </c>
      <c r="I41" s="2" t="s">
        <v>98</v>
      </c>
    </row>
    <row r="42">
      <c r="A42" s="1"/>
      <c r="B42" s="25" t="s">
        <v>80</v>
      </c>
      <c r="C42" s="45">
        <v>0</v>
      </c>
      <c r="D42" s="45">
        <v>0</v>
      </c>
      <c r="E42" s="45">
        <v>0</v>
      </c>
      <c r="F42" s="45">
        <v>0</v>
      </c>
      <c r="G42" s="45">
        <v>0</v>
      </c>
      <c r="H42" s="46">
        <v>0</v>
      </c>
      <c r="I42" s="2" t="s">
        <v>81</v>
      </c>
    </row>
    <row r="43">
      <c r="A43" s="1"/>
      <c r="B43" s="25" t="s">
        <v>82</v>
      </c>
      <c r="C43" s="23">
        <f>IFERROR((1+C38)/((1+C41)*(1+C42))-1,"n/m")</f>
        <v>-0.35339392767356415</v>
      </c>
      <c r="D43" s="23">
        <f>IFERROR((1+D38)/((1+D41)*(1+D42))-1,"n/m")</f>
        <v>-0.33578776394152676</v>
      </c>
      <c r="E43" s="23">
        <f>IFERROR((1+E38)/((1+E41)*(1+E42))-1,"n/m")</f>
        <v>0.018756336600202594</v>
      </c>
      <c r="F43" s="23">
        <f>IFERROR((1+F38)/((1+F41)*(1+F42))-1,"n/m")</f>
        <v>0.4082523157008344</v>
      </c>
      <c r="G43" s="23">
        <f>IFERROR((1+G38)/((1+G41)*(1+G42))-1,"n/m")</f>
        <v>-0.1513919670052264</v>
      </c>
      <c r="H43" s="50">
        <f>IFERROR((1+H38)/((1+H41)*(1+H42))-1,"n/m")</f>
        <v>0.1333819834908483</v>
      </c>
      <c r="I43" s="2"/>
    </row>
    <row r="44">
      <c r="A44" s="1"/>
      <c r="B44" s="25" t="s">
        <v>83</v>
      </c>
      <c r="C44" s="23">
        <f>C38</f>
        <v>-0.35339392767356415</v>
      </c>
      <c r="D44" s="23">
        <f>D38</f>
        <v>-0.33578776394152676</v>
      </c>
      <c r="E44" s="23">
        <f>E38</f>
        <v>0.018756336600202594</v>
      </c>
      <c r="F44" s="23">
        <f>F38</f>
        <v>0.4082523157008344</v>
      </c>
      <c r="G44" s="23">
        <f>G38</f>
        <v>-0.1513919670052264</v>
      </c>
      <c r="H44" s="50">
        <f>H38</f>
        <v>0.1333819834908483</v>
      </c>
      <c r="I44" s="2"/>
    </row>
    <row r="45">
      <c r="A45" s="1"/>
      <c r="B45" s="14" t="s">
        <v>99</v>
      </c>
      <c r="C45" s="37">
        <f>C11+C20+C36</f>
        <v>80.935</v>
      </c>
      <c r="D45" s="37">
        <f>D11+D20+D36</f>
        <v>144.99099999999999</v>
      </c>
      <c r="E45" s="37">
        <f>E11+E20+E36</f>
        <v>126.637</v>
      </c>
      <c r="F45" s="37">
        <f>F11+F20+F36</f>
        <v>258.748</v>
      </c>
      <c r="G45" s="37">
        <f>G11+G20+G36</f>
        <v>611.3109999999999</v>
      </c>
      <c r="H45" s="56">
        <f>H11+H20+H36</f>
        <v>203.69277347826085</v>
      </c>
      <c r="I45" s="2"/>
    </row>
    <row r="46">
      <c r="A46" s="1"/>
      <c r="B46" s="1" t="s">
        <v>74</v>
      </c>
      <c r="C46" s="3">
        <f>C12+C21+C37</f>
        <v>60.70399999999999</v>
      </c>
      <c r="D46" s="3">
        <f>D12+D21+D37</f>
        <v>63.867999999999995</v>
      </c>
      <c r="E46" s="3">
        <f>E12+E21+E37</f>
        <v>52.92100000000001</v>
      </c>
      <c r="F46" s="3">
        <f>F12+F21+F37</f>
        <v>51.076</v>
      </c>
      <c r="G46" s="3">
        <f>G12+G21+G37</f>
        <v>228.56900000000002</v>
      </c>
      <c r="H46" s="44">
        <f>H12+H21+H37</f>
        <v>80.935</v>
      </c>
      <c r="I46" s="2"/>
    </row>
    <row r="47">
      <c r="A47" s="1"/>
      <c r="B47" s="25" t="s">
        <v>75</v>
      </c>
      <c r="C47" s="23">
        <f>IF(C46=0,"n/m",C45/C46-1)</f>
        <v>0.33327293094359534</v>
      </c>
      <c r="D47" s="23">
        <f>IF(D46=0,"n/m",D45/D46-1)</f>
        <v>1.2701665935992983</v>
      </c>
      <c r="E47" s="23">
        <f>IF(E46=0,"n/m",E45/E46-1)</f>
        <v>1.3929441998450516</v>
      </c>
      <c r="F47" s="23">
        <f>IF(F46=0,"n/m",F45/F46-1)</f>
        <v>4.065940950740074</v>
      </c>
      <c r="G47" s="23">
        <f>IF(G46=0,"n/m",G45/G46-1)</f>
        <v>1.6745140417116926</v>
      </c>
      <c r="H47" s="50">
        <f>IF(H46=0,"n/m",H45/H46-1)</f>
        <v>1.5167452088498283</v>
      </c>
      <c r="I47" s="2"/>
    </row>
    <row r="48">
      <c r="A48" s="1"/>
      <c r="B48" s="25" t="s">
        <v>76</v>
      </c>
      <c r="C48" s="23">
        <f>IF(F46=0,"n/m",C45/F46-1)</f>
        <v>0.5845994204714544</v>
      </c>
      <c r="D48" s="23">
        <f>IFERROR(IF(C45=0,"n/m",D45/C45-1),"n/a")</f>
        <v>0.7914499289553343</v>
      </c>
      <c r="E48" s="23">
        <f>IFERROR(IF(D45=0,"n/m",E45/D45-1),"n/a")</f>
        <v>-0.12658716747936072</v>
      </c>
      <c r="F48" s="23">
        <f>IFERROR(IF(E45=0,"n/m",F45/E45-1),"n/a")</f>
        <v>1.0432259134376207</v>
      </c>
      <c r="G48" s="23" t="s">
        <v>40</v>
      </c>
      <c r="H48" s="50">
        <f>IFERROR(IF(F45=0,"n/m",H45/F45-1),"n/a")</f>
        <v>-0.2127754669475287</v>
      </c>
      <c r="I48" s="2"/>
    </row>
    <row r="49">
      <c r="A49" s="1"/>
      <c r="B49" s="25" t="s">
        <v>77</v>
      </c>
      <c r="C49" s="23">
        <f>C45/C45</f>
        <v>1</v>
      </c>
      <c r="D49" s="23">
        <f>D45/D45</f>
        <v>1</v>
      </c>
      <c r="E49" s="23">
        <f>E45/E45</f>
        <v>1</v>
      </c>
      <c r="F49" s="23">
        <f>F45/F45</f>
        <v>1</v>
      </c>
      <c r="G49" s="23">
        <f>G45/G45</f>
        <v>1</v>
      </c>
      <c r="H49" s="50">
        <f>H45/H45</f>
        <v>1</v>
      </c>
      <c r="I49" s="2"/>
    </row>
    <row r="50">
      <c r="A50" s="1"/>
      <c r="B50" s="25" t="s">
        <v>78</v>
      </c>
      <c r="C50" s="45">
        <v>0</v>
      </c>
      <c r="D50" s="45">
        <v>0</v>
      </c>
      <c r="E50" s="45">
        <v>0</v>
      </c>
      <c r="F50" s="45">
        <v>0</v>
      </c>
      <c r="G50" s="45">
        <v>0</v>
      </c>
      <c r="H50" s="46">
        <v>0</v>
      </c>
      <c r="I50" s="2" t="s">
        <v>79</v>
      </c>
    </row>
    <row r="51">
      <c r="A51" s="1"/>
      <c r="B51" s="25" t="s">
        <v>80</v>
      </c>
      <c r="C51" s="45">
        <v>0</v>
      </c>
      <c r="D51" s="45">
        <v>0</v>
      </c>
      <c r="E51" s="45">
        <v>0</v>
      </c>
      <c r="F51" s="45">
        <v>0</v>
      </c>
      <c r="G51" s="45">
        <v>0</v>
      </c>
      <c r="H51" s="46">
        <v>0</v>
      </c>
      <c r="I51" s="2" t="s">
        <v>81</v>
      </c>
    </row>
    <row r="52">
      <c r="A52" s="1"/>
      <c r="B52" s="25" t="s">
        <v>82</v>
      </c>
      <c r="C52" s="23">
        <f>IFERROR((1+C47)/((1+C50)*(1+C51))-1,"n/m")</f>
        <v>0.33327293094359534</v>
      </c>
      <c r="D52" s="23">
        <f>IFERROR((1+D47)/((1+D50)*(1+D51))-1,"n/m")</f>
        <v>1.2701665935992983</v>
      </c>
      <c r="E52" s="23">
        <f>IFERROR((1+E47)/((1+E50)*(1+E51))-1,"n/m")</f>
        <v>1.3929441998450516</v>
      </c>
      <c r="F52" s="23">
        <f>IFERROR((1+F47)/((1+F50)*(1+F51))-1,"n/m")</f>
        <v>4.065940950740074</v>
      </c>
      <c r="G52" s="23">
        <f>IFERROR((1+G47)/((1+G50)*(1+G51))-1,"n/m")</f>
        <v>1.6745140417116926</v>
      </c>
      <c r="H52" s="50">
        <f>IFERROR((1+H47)/((1+H50)*(1+H51))-1,"n/m")</f>
        <v>1.5167452088498283</v>
      </c>
      <c r="I52" s="2"/>
    </row>
    <row r="53">
      <c r="A53" s="1"/>
      <c r="B53" s="25" t="s">
        <v>83</v>
      </c>
      <c r="C53" s="23">
        <f>C47</f>
        <v>0.33327293094359534</v>
      </c>
      <c r="D53" s="23">
        <f>D47</f>
        <v>1.2701665935992983</v>
      </c>
      <c r="E53" s="23">
        <f>E47</f>
        <v>1.3929441998450516</v>
      </c>
      <c r="F53" s="23">
        <f>F47</f>
        <v>4.065940950740074</v>
      </c>
      <c r="G53" s="23">
        <f>G47</f>
        <v>1.6745140417116926</v>
      </c>
      <c r="H53" s="50">
        <f>H47</f>
        <v>1.5167452088498283</v>
      </c>
      <c r="I53" s="2"/>
    </row>
    <row r="54">
      <c r="A54" s="1"/>
      <c r="B54" s="1"/>
      <c r="C54" s="7"/>
      <c r="D54" s="7"/>
      <c r="E54" s="7"/>
      <c r="F54" s="7"/>
      <c r="G54" s="7"/>
      <c r="H54" s="42"/>
      <c r="I54" s="2"/>
    </row>
    <row r="55">
      <c r="A55" s="1"/>
      <c r="B55" s="14" t="s">
        <v>100</v>
      </c>
      <c r="C55" s="35"/>
      <c r="D55" s="35"/>
      <c r="E55" s="35"/>
      <c r="F55" s="35"/>
      <c r="G55" s="35"/>
      <c r="H55" s="36"/>
      <c r="I55" s="2"/>
    </row>
    <row r="56">
      <c r="A56" s="1"/>
      <c r="B56" s="1" t="s">
        <v>101</v>
      </c>
      <c r="C56" s="20">
        <f>'Income Statement'!C14</f>
        <v>80.934</v>
      </c>
      <c r="D56" s="20">
        <f>'Income Statement'!D14</f>
        <v>144.99099999999999</v>
      </c>
      <c r="E56" s="20">
        <f>'Income Statement'!E14</f>
        <v>126.637</v>
      </c>
      <c r="F56" s="20">
        <f>'Income Statement'!F14</f>
        <v>258.748</v>
      </c>
      <c r="G56" s="20">
        <f>'Income Statement'!G14</f>
        <v>611.31</v>
      </c>
      <c r="H56" s="58">
        <f>'Income Statement'!H14</f>
        <v>203.69277347826085</v>
      </c>
      <c r="I56" s="2" t="s">
        <v>102</v>
      </c>
    </row>
    <row r="57">
      <c r="A57" s="1"/>
      <c r="B57" s="14" t="s">
        <v>103</v>
      </c>
      <c r="C57" s="39">
        <f>ROUND(C45-C56,2)</f>
        <v>0</v>
      </c>
      <c r="D57" s="39">
        <f>ROUND(D45-D56,2)</f>
        <v>0</v>
      </c>
      <c r="E57" s="39">
        <f>ROUND(E45-E56,2)</f>
        <v>0</v>
      </c>
      <c r="F57" s="39">
        <f>ROUND(F45-F56,2)</f>
        <v>0</v>
      </c>
      <c r="G57" s="39">
        <f>ROUND(G45-G56,2)</f>
        <v>0</v>
      </c>
      <c r="H57" s="40">
        <f>ROUND(H45-H56,2)</f>
        <v>0</v>
      </c>
      <c r="I57" s="2" t="s">
        <v>104</v>
      </c>
    </row>
    <row r="58">
      <c r="A58" s="1"/>
      <c r="B58" s="1" t="s">
        <v>105</v>
      </c>
      <c r="C58" s="3">
        <f>C45-C36</f>
        <v>64.217</v>
      </c>
      <c r="D58" s="3">
        <f>D45-D36</f>
        <v>126.58899999999998</v>
      </c>
      <c r="E58" s="3">
        <f>E45-E36</f>
        <v>108.55</v>
      </c>
      <c r="F58" s="3">
        <f>F45-F36</f>
        <v>240.35199999999998</v>
      </c>
      <c r="G58" s="3">
        <f>G45-G36</f>
        <v>539.7079999999999</v>
      </c>
      <c r="H58" s="44">
        <f>H45-H36</f>
        <v>184.74489347826085</v>
      </c>
      <c r="I58" s="2"/>
    </row>
    <row r="59">
      <c r="A59" s="1"/>
      <c r="B59" s="1" t="s">
        <v>106</v>
      </c>
      <c r="C59" s="20">
        <f>'Income Statement'!C120</f>
        <v>64.216</v>
      </c>
      <c r="D59" s="20">
        <f>'Income Statement'!D120</f>
        <v>126.589</v>
      </c>
      <c r="E59" s="8">
        <v>108.55</v>
      </c>
      <c r="F59" s="8">
        <v>240.352</v>
      </c>
      <c r="G59" s="8">
        <v>539.707</v>
      </c>
      <c r="H59" s="44"/>
      <c r="I59" s="2" t="s">
        <v>107</v>
      </c>
    </row>
    <row r="60">
      <c r="A60" s="1"/>
      <c r="B60" s="1" t="s">
        <v>108</v>
      </c>
      <c r="C60" s="3">
        <f>ROUND(C58-C59,2)</f>
        <v>0</v>
      </c>
      <c r="D60" s="3">
        <f>ROUND(D58-D59,2)</f>
        <v>0</v>
      </c>
      <c r="E60" s="3">
        <f>ROUND(E58-E59,2)</f>
        <v>0</v>
      </c>
      <c r="F60" s="3">
        <f>ROUND(F58-F59,2)</f>
        <v>0</v>
      </c>
      <c r="G60" s="3">
        <f>ROUND(G58-G59,2)</f>
        <v>0</v>
      </c>
      <c r="H60" s="44"/>
      <c r="I60" s="2"/>
    </row>
    <row r="61">
      <c r="A61" s="1"/>
      <c r="B61" s="1" t="s">
        <v>109</v>
      </c>
      <c r="C61" s="20">
        <f>Inputs!I14</f>
        <v>64.22</v>
      </c>
      <c r="D61" s="20">
        <f>Inputs!I15</f>
        <v>126.59</v>
      </c>
      <c r="E61" s="20">
        <f>Inputs!I16</f>
        <v>126.64</v>
      </c>
      <c r="F61" s="20">
        <f>Inputs!I17</f>
        <v>258.75</v>
      </c>
      <c r="G61" s="3"/>
      <c r="H61" s="44"/>
      <c r="I61" s="2" t="s">
        <v>110</v>
      </c>
    </row>
    <row r="62">
      <c r="A62" s="1"/>
      <c r="B62" s="1" t="s">
        <v>111</v>
      </c>
      <c r="C62" s="3">
        <f>C45-C61</f>
        <v>16.715000000000003</v>
      </c>
      <c r="D62" s="3">
        <f>D45-D61</f>
        <v>18.400999999999982</v>
      </c>
      <c r="E62" s="3">
        <f>E45-E61</f>
        <v>-0.0030000000000001137</v>
      </c>
      <c r="F62" s="3">
        <f>F45-F61</f>
        <v>-0.0020000000000095497</v>
      </c>
      <c r="G62" s="3"/>
      <c r="H62" s="44"/>
      <c r="I62" s="2" t="s">
        <v>112</v>
      </c>
    </row>
    <row r="63">
      <c r="A63" s="1"/>
      <c r="B63" s="1" t="s">
        <v>113</v>
      </c>
      <c r="C63" s="20">
        <f>Inputs!H14</f>
        <v>45.46</v>
      </c>
      <c r="D63" s="20">
        <f>Inputs!H15</f>
        <v>81.21</v>
      </c>
      <c r="E63" s="20">
        <f>Inputs!H16</f>
        <v>78.48</v>
      </c>
      <c r="F63" s="20">
        <f>Inputs!H17</f>
        <v>95.32</v>
      </c>
      <c r="G63" s="3"/>
      <c r="H63" s="58">
        <f>Inputs!C29</f>
        <v>124.57</v>
      </c>
      <c r="I63" s="2" t="s">
        <v>114</v>
      </c>
    </row>
    <row r="64">
      <c r="A64" s="1"/>
      <c r="B64" s="1" t="s">
        <v>115</v>
      </c>
      <c r="C64" s="3">
        <f>C45-C63</f>
        <v>35.475</v>
      </c>
      <c r="D64" s="3">
        <f>D45-D63</f>
        <v>63.78099999999999</v>
      </c>
      <c r="E64" s="3">
        <f>E45-E63</f>
        <v>48.157</v>
      </c>
      <c r="F64" s="3">
        <f>F45-F63</f>
        <v>163.428</v>
      </c>
      <c r="G64" s="3"/>
      <c r="H64" s="44">
        <f>H45-H63</f>
        <v>79.12277347826085</v>
      </c>
      <c r="I64" s="2"/>
    </row>
    <row r="65">
      <c r="A65" s="1"/>
      <c r="B65" s="1" t="s">
        <v>116</v>
      </c>
      <c r="C65" s="7"/>
      <c r="D65" s="7"/>
      <c r="E65" s="7"/>
      <c r="F65" s="7"/>
      <c r="G65" s="7"/>
      <c r="H65" s="42"/>
      <c r="I65" s="2" t="s">
        <v>117</v>
      </c>
    </row>
    <row r="66">
      <c r="A66" s="1"/>
      <c r="B66" s="1"/>
      <c r="C66" s="7"/>
      <c r="D66" s="7"/>
      <c r="E66" s="7"/>
      <c r="F66" s="7"/>
      <c r="G66" s="7"/>
      <c r="H66" s="42"/>
      <c r="I66" s="2"/>
    </row>
    <row r="67">
      <c r="A67" s="1"/>
      <c r="B67" s="1"/>
      <c r="C67" s="7"/>
      <c r="D67" s="7"/>
      <c r="E67" s="7"/>
      <c r="F67" s="7"/>
      <c r="G67" s="7"/>
      <c r="H67" s="42"/>
      <c r="I67" s="2"/>
    </row>
    <row r="68">
      <c r="A68" s="1"/>
      <c r="B68" s="1"/>
      <c r="C68" s="7"/>
      <c r="D68" s="7"/>
      <c r="E68" s="7"/>
      <c r="F68" s="7"/>
      <c r="G68" s="7"/>
      <c r="H68" s="42"/>
      <c r="I68" s="2"/>
    </row>
  </sheetData>
</worksheet>
</file>

<file path=xl/worksheets/sheet3.xml><?xml version="1.0" encoding="utf-8"?>
<worksheet xmlns="http://schemas.openxmlformats.org/spreadsheetml/2006/main" xmlns:r="http://schemas.openxmlformats.org/officeDocument/2006/relationships">
  <dimension ref="A1:I164"/>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118</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119</v>
      </c>
      <c r="C10" s="35"/>
      <c r="D10" s="35"/>
      <c r="E10" s="35"/>
      <c r="F10" s="35"/>
      <c r="G10" s="35"/>
      <c r="H10" s="36"/>
      <c r="I10" s="2"/>
    </row>
    <row r="11">
      <c r="A11" s="1"/>
      <c r="B11" s="1" t="s">
        <v>120</v>
      </c>
      <c r="C11" s="8">
        <v>0</v>
      </c>
      <c r="D11" s="3">
        <f>C15</f>
        <v>0</v>
      </c>
      <c r="E11" s="3">
        <f>D15</f>
        <v>100</v>
      </c>
      <c r="F11" s="3">
        <f>E15</f>
        <v>100</v>
      </c>
      <c r="G11" s="3">
        <f>C11</f>
        <v>0</v>
      </c>
      <c r="H11" s="44">
        <f>F15</f>
        <v>100</v>
      </c>
      <c r="I11" s="2" t="s">
        <v>121</v>
      </c>
    </row>
    <row r="12">
      <c r="A12" s="1"/>
      <c r="B12" s="1" t="s">
        <v>122</v>
      </c>
      <c r="C12" s="8">
        <v>0</v>
      </c>
      <c r="D12" s="8">
        <v>100</v>
      </c>
      <c r="E12" s="8">
        <v>0</v>
      </c>
      <c r="F12" s="8">
        <v>0</v>
      </c>
      <c r="G12" s="3">
        <f>SUM(C12:F12)</f>
        <v>100</v>
      </c>
      <c r="H12" s="61">
        <v>75</v>
      </c>
      <c r="I12" s="2" t="s">
        <v>123</v>
      </c>
    </row>
    <row r="13">
      <c r="A13" s="1"/>
      <c r="B13" s="1" t="s">
        <v>124</v>
      </c>
      <c r="C13" s="8">
        <v>0</v>
      </c>
      <c r="D13" s="8">
        <v>0</v>
      </c>
      <c r="E13" s="8">
        <v>0</v>
      </c>
      <c r="F13" s="8">
        <v>0</v>
      </c>
      <c r="G13" s="3">
        <f>SUM(C13:F13)</f>
        <v>0</v>
      </c>
      <c r="H13" s="61">
        <v>0</v>
      </c>
      <c r="I13" s="2" t="s">
        <v>125</v>
      </c>
    </row>
    <row r="14">
      <c r="A14" s="1"/>
      <c r="B14" s="1" t="s">
        <v>126</v>
      </c>
      <c r="C14" s="3">
        <f>C12-C13</f>
        <v>0</v>
      </c>
      <c r="D14" s="3">
        <f>D12-D13</f>
        <v>100</v>
      </c>
      <c r="E14" s="3">
        <f>E12-E13</f>
        <v>0</v>
      </c>
      <c r="F14" s="3">
        <f>F12-F13</f>
        <v>0</v>
      </c>
      <c r="G14" s="3">
        <f>G12-G13</f>
        <v>100</v>
      </c>
      <c r="H14" s="44">
        <f>H12-H13</f>
        <v>75</v>
      </c>
      <c r="I14" s="2"/>
    </row>
    <row r="15">
      <c r="A15" s="1"/>
      <c r="B15" s="14" t="s">
        <v>127</v>
      </c>
      <c r="C15" s="37">
        <f>C11+C14</f>
        <v>0</v>
      </c>
      <c r="D15" s="37">
        <f>D11+D14</f>
        <v>100</v>
      </c>
      <c r="E15" s="37">
        <f>E11+E14</f>
        <v>100</v>
      </c>
      <c r="F15" s="37">
        <f>F11+F14</f>
        <v>100</v>
      </c>
      <c r="G15" s="37">
        <f>G11+G14</f>
        <v>100</v>
      </c>
      <c r="H15" s="56">
        <f>H11+H14</f>
        <v>175</v>
      </c>
      <c r="I15" s="2"/>
    </row>
    <row r="16">
      <c r="A16" s="1"/>
      <c r="B16" s="1" t="s">
        <v>128</v>
      </c>
      <c r="C16" s="8">
        <v>0</v>
      </c>
      <c r="D16" s="8">
        <v>0</v>
      </c>
      <c r="E16" s="8">
        <v>0</v>
      </c>
      <c r="F16" s="8">
        <v>0</v>
      </c>
      <c r="G16" s="8">
        <v>0</v>
      </c>
      <c r="H16" s="44">
        <f>C15</f>
        <v>0</v>
      </c>
      <c r="I16" s="2" t="s">
        <v>129</v>
      </c>
    </row>
    <row r="17">
      <c r="A17" s="1"/>
      <c r="B17" s="1" t="s">
        <v>130</v>
      </c>
      <c r="C17" s="3">
        <f>IFERROR(C15-C16,"n/a")</f>
        <v>0</v>
      </c>
      <c r="D17" s="3">
        <f>IFERROR(D15-D16,"n/a")</f>
        <v>100</v>
      </c>
      <c r="E17" s="3">
        <f>IFERROR(E15-E16,"n/a")</f>
        <v>100</v>
      </c>
      <c r="F17" s="3">
        <f>IFERROR(F15-F16,"n/a")</f>
        <v>100</v>
      </c>
      <c r="G17" s="3">
        <f>IFERROR(G15-G16,"n/a")</f>
        <v>100</v>
      </c>
      <c r="H17" s="44">
        <f>IFERROR(H15-C15,"n/a")</f>
        <v>175</v>
      </c>
      <c r="I17" s="2"/>
    </row>
    <row r="18">
      <c r="A18" s="1"/>
      <c r="B18" s="1" t="s">
        <v>131</v>
      </c>
      <c r="C18" s="3">
        <f>IFERROR(C15-F16,"n/a")</f>
        <v>0</v>
      </c>
      <c r="D18" s="3">
        <f>IFERROR(D15-C15,"n/a")</f>
        <v>100</v>
      </c>
      <c r="E18" s="3">
        <f>IFERROR(E15-D15,"n/a")</f>
        <v>0</v>
      </c>
      <c r="F18" s="3">
        <f>IFERROR(F15-E15,"n/a")</f>
        <v>0</v>
      </c>
      <c r="G18" s="3" t="s">
        <v>40</v>
      </c>
      <c r="H18" s="44">
        <f>IFERROR(H15-F15,"n/a")</f>
        <v>75</v>
      </c>
      <c r="I18" s="2"/>
    </row>
    <row r="19">
      <c r="A19" s="1"/>
      <c r="B19" s="1" t="s">
        <v>132</v>
      </c>
      <c r="C19" s="63">
        <v>0</v>
      </c>
      <c r="D19" s="63">
        <v>25</v>
      </c>
      <c r="E19" s="63">
        <v>0</v>
      </c>
      <c r="F19" s="63">
        <v>0</v>
      </c>
      <c r="G19" s="41" t="s">
        <v>40</v>
      </c>
      <c r="H19" s="64">
        <v>62</v>
      </c>
      <c r="I19" s="2" t="s">
        <v>133</v>
      </c>
    </row>
    <row r="20">
      <c r="A20" s="1"/>
      <c r="B20" s="1" t="s">
        <v>134</v>
      </c>
      <c r="C20" s="41" t="s">
        <v>40</v>
      </c>
      <c r="D20" s="41">
        <f>IFERROR(D19-C19,"n/a")</f>
        <v>25</v>
      </c>
      <c r="E20" s="41">
        <f>IFERROR(E19-D19,"n/a")</f>
        <v>-25</v>
      </c>
      <c r="F20" s="41">
        <f>IFERROR(F19-E19,"n/a")</f>
        <v>0</v>
      </c>
      <c r="G20" s="41" t="s">
        <v>40</v>
      </c>
      <c r="H20" s="51">
        <f>IFERROR(H19-F19,"n/a")</f>
        <v>62</v>
      </c>
      <c r="I20" s="2"/>
    </row>
    <row r="21">
      <c r="A21" s="1"/>
      <c r="B21" s="1" t="s">
        <v>135</v>
      </c>
      <c r="C21" s="41" t="s">
        <v>40</v>
      </c>
      <c r="D21" s="41" t="s">
        <v>40</v>
      </c>
      <c r="E21" s="41" t="s">
        <v>40</v>
      </c>
      <c r="F21" s="41" t="s">
        <v>40</v>
      </c>
      <c r="G21" s="41" t="s">
        <v>40</v>
      </c>
      <c r="H21" s="51">
        <f>IFERROR(H19-C19,"n/a")</f>
        <v>62</v>
      </c>
      <c r="I21" s="2"/>
    </row>
    <row r="22">
      <c r="A22" s="1"/>
      <c r="B22" s="14" t="s">
        <v>136</v>
      </c>
      <c r="C22" s="37">
        <f>C11+C12*C19/C$8</f>
        <v>0</v>
      </c>
      <c r="D22" s="37">
        <f>D11+D12*D19/D$8</f>
        <v>27.47252747252747</v>
      </c>
      <c r="E22" s="37">
        <f>E11+E12*E19/E$8</f>
        <v>100</v>
      </c>
      <c r="F22" s="37">
        <f>F11+F12*F19/F$8</f>
        <v>100</v>
      </c>
      <c r="G22" s="37">
        <f>SUMPRODUCT(C22:F22,C$8:F$8)/G$8</f>
        <v>56.71232876712329</v>
      </c>
      <c r="H22" s="56">
        <f>H11+H12*H19/H$8</f>
        <v>150.54347826086956</v>
      </c>
      <c r="I22" s="2"/>
    </row>
    <row r="23">
      <c r="A23" s="1"/>
      <c r="B23" s="1" t="s">
        <v>137</v>
      </c>
      <c r="C23" s="8">
        <v>0</v>
      </c>
      <c r="D23" s="8">
        <v>0</v>
      </c>
      <c r="E23" s="8">
        <v>0</v>
      </c>
      <c r="F23" s="8">
        <v>0</v>
      </c>
      <c r="G23" s="8">
        <v>0</v>
      </c>
      <c r="H23" s="44">
        <f>C22</f>
        <v>0</v>
      </c>
      <c r="I23" s="2"/>
    </row>
    <row r="24">
      <c r="A24" s="1"/>
      <c r="B24" s="1" t="s">
        <v>130</v>
      </c>
      <c r="C24" s="3">
        <f>IFERROR(C22-C23,"n/a")</f>
        <v>0</v>
      </c>
      <c r="D24" s="3">
        <f>IFERROR(D22-D23,"n/a")</f>
        <v>27.47252747252747</v>
      </c>
      <c r="E24" s="3">
        <f>IFERROR(E22-E23,"n/a")</f>
        <v>100</v>
      </c>
      <c r="F24" s="3">
        <f>IFERROR(F22-F23,"n/a")</f>
        <v>100</v>
      </c>
      <c r="G24" s="3">
        <f>IFERROR(G22-G23,"n/a")</f>
        <v>56.71232876712329</v>
      </c>
      <c r="H24" s="44">
        <f>IFERROR(H22-C22,"n/a")</f>
        <v>150.54347826086956</v>
      </c>
      <c r="I24" s="2"/>
    </row>
    <row r="25">
      <c r="A25" s="1"/>
      <c r="B25" s="1" t="s">
        <v>131</v>
      </c>
      <c r="C25" s="3">
        <f>IFERROR(C22-F23,"n/a")</f>
        <v>0</v>
      </c>
      <c r="D25" s="3">
        <f>IFERROR(D22-C22,"n/a")</f>
        <v>27.47252747252747</v>
      </c>
      <c r="E25" s="3">
        <f>IFERROR(E22-D22,"n/a")</f>
        <v>72.52747252747253</v>
      </c>
      <c r="F25" s="3">
        <f>IFERROR(F22-E22,"n/a")</f>
        <v>0</v>
      </c>
      <c r="G25" s="3" t="s">
        <v>40</v>
      </c>
      <c r="H25" s="44">
        <f>IFERROR(H22-F22,"n/a")</f>
        <v>50.54347826086956</v>
      </c>
      <c r="I25" s="2"/>
    </row>
    <row r="26">
      <c r="A26" s="1"/>
      <c r="B26" s="1" t="s">
        <v>138</v>
      </c>
      <c r="C26" s="8">
        <v>400</v>
      </c>
      <c r="D26" s="8">
        <v>600</v>
      </c>
      <c r="E26" s="8">
        <v>600</v>
      </c>
      <c r="F26" s="8">
        <v>1410</v>
      </c>
      <c r="G26" s="3">
        <f>F26</f>
        <v>1410</v>
      </c>
      <c r="H26" s="44">
        <f>F26</f>
        <v>1410</v>
      </c>
      <c r="I26" s="2" t="s">
        <v>139</v>
      </c>
    </row>
    <row r="27">
      <c r="A27" s="1"/>
      <c r="B27" s="1" t="s">
        <v>140</v>
      </c>
      <c r="C27" s="8">
        <v>0</v>
      </c>
      <c r="D27" s="8">
        <v>0</v>
      </c>
      <c r="E27" s="8">
        <v>0</v>
      </c>
      <c r="F27" s="8">
        <v>250</v>
      </c>
      <c r="G27" s="3">
        <f>F27</f>
        <v>250</v>
      </c>
      <c r="H27" s="44">
        <f>C26</f>
        <v>400</v>
      </c>
      <c r="I27" s="2" t="s">
        <v>141</v>
      </c>
    </row>
    <row r="28">
      <c r="A28" s="1"/>
      <c r="B28" s="1" t="s">
        <v>130</v>
      </c>
      <c r="C28" s="3">
        <f>IFERROR(C26-C27,"n/a")</f>
        <v>400</v>
      </c>
      <c r="D28" s="3">
        <f>IFERROR(D26-D27,"n/a")</f>
        <v>600</v>
      </c>
      <c r="E28" s="3">
        <f>IFERROR(E26-E27,"n/a")</f>
        <v>600</v>
      </c>
      <c r="F28" s="3">
        <f>IFERROR(F26-F27,"n/a")</f>
        <v>1160</v>
      </c>
      <c r="G28" s="3">
        <f>IFERROR(G26-G27,"n/a")</f>
        <v>1160</v>
      </c>
      <c r="H28" s="44">
        <f>IFERROR(H26-C26,"n/a")</f>
        <v>1010</v>
      </c>
      <c r="I28" s="2"/>
    </row>
    <row r="29">
      <c r="A29" s="1"/>
      <c r="B29" s="1" t="s">
        <v>131</v>
      </c>
      <c r="C29" s="3">
        <f>IFERROR(C26-F27,"n/a")</f>
        <v>150</v>
      </c>
      <c r="D29" s="3">
        <f>IFERROR(D26-C26,"n/a")</f>
        <v>200</v>
      </c>
      <c r="E29" s="3">
        <f>IFERROR(E26-D26,"n/a")</f>
        <v>0</v>
      </c>
      <c r="F29" s="3">
        <f>IFERROR(F26-E26,"n/a")</f>
        <v>810</v>
      </c>
      <c r="G29" s="3" t="s">
        <v>40</v>
      </c>
      <c r="H29" s="44">
        <f>IFERROR(H26-F26,"n/a")</f>
        <v>0</v>
      </c>
      <c r="I29" s="2"/>
    </row>
    <row r="30">
      <c r="A30" s="1"/>
      <c r="B30" s="1" t="s">
        <v>142</v>
      </c>
      <c r="C30" s="3">
        <f>C26-C15</f>
        <v>400</v>
      </c>
      <c r="D30" s="3">
        <f>D26-D15</f>
        <v>500</v>
      </c>
      <c r="E30" s="3">
        <f>E26-E15</f>
        <v>500</v>
      </c>
      <c r="F30" s="3">
        <f>F26-F15</f>
        <v>1310</v>
      </c>
      <c r="G30" s="3">
        <f>G26-G15</f>
        <v>1310</v>
      </c>
      <c r="H30" s="44">
        <f>H26-H15</f>
        <v>1235</v>
      </c>
      <c r="I30" s="2"/>
    </row>
    <row r="31">
      <c r="A31" s="1"/>
      <c r="B31" s="1" t="s">
        <v>131</v>
      </c>
      <c r="C31" s="3" t="s">
        <v>40</v>
      </c>
      <c r="D31" s="3">
        <f>IFERROR(D30-C30,"n/a")</f>
        <v>100</v>
      </c>
      <c r="E31" s="3">
        <f>IFERROR(E30-D30,"n/a")</f>
        <v>0</v>
      </c>
      <c r="F31" s="3">
        <f>IFERROR(F30-E30,"n/a")</f>
        <v>810</v>
      </c>
      <c r="G31" s="3" t="s">
        <v>40</v>
      </c>
      <c r="H31" s="44">
        <f>IFERROR(H30-F30,"n/a")</f>
        <v>-75</v>
      </c>
      <c r="I31" s="2"/>
    </row>
    <row r="32">
      <c r="A32" s="1"/>
      <c r="B32" s="1" t="s">
        <v>130</v>
      </c>
      <c r="C32" s="3" t="s">
        <v>40</v>
      </c>
      <c r="D32" s="3" t="s">
        <v>40</v>
      </c>
      <c r="E32" s="3" t="s">
        <v>40</v>
      </c>
      <c r="F32" s="3" t="s">
        <v>40</v>
      </c>
      <c r="G32" s="3" t="s">
        <v>40</v>
      </c>
      <c r="H32" s="44">
        <f>IFERROR(H30-C30,"n/a")</f>
        <v>835</v>
      </c>
      <c r="I32" s="2"/>
    </row>
    <row r="33">
      <c r="A33" s="1"/>
      <c r="B33" s="25" t="s">
        <v>143</v>
      </c>
      <c r="C33" s="23">
        <f>IFERROR(C15/C26,0)</f>
        <v>0</v>
      </c>
      <c r="D33" s="23">
        <f>IFERROR(D15/D26,0)</f>
        <v>0.16666666666666666</v>
      </c>
      <c r="E33" s="23">
        <f>IFERROR(E15/E26,0)</f>
        <v>0.16666666666666666</v>
      </c>
      <c r="F33" s="23">
        <f>IFERROR(F15/F26,0)</f>
        <v>0.07092198581560284</v>
      </c>
      <c r="G33" s="23">
        <f>IFERROR(G15/G26,0)</f>
        <v>0.07092198581560284</v>
      </c>
      <c r="H33" s="50">
        <f>IFERROR(H15/H26,0)</f>
        <v>0.12411347517730496</v>
      </c>
      <c r="I33" s="2"/>
    </row>
    <row r="34">
      <c r="A34" s="1"/>
      <c r="B34" s="1" t="s">
        <v>144</v>
      </c>
      <c r="C34" s="41" t="s">
        <v>40</v>
      </c>
      <c r="D34" s="41">
        <f>IFERROR((D33-C33)*10000,"n/a")</f>
        <v>1666.6666666666665</v>
      </c>
      <c r="E34" s="41">
        <f>IFERROR((E33-D33)*10000,"n/a")</f>
        <v>0</v>
      </c>
      <c r="F34" s="41">
        <f>IFERROR((F33-E33)*10000,"n/a")</f>
        <v>-957.4468085106381</v>
      </c>
      <c r="G34" s="41" t="s">
        <v>40</v>
      </c>
      <c r="H34" s="51">
        <f>IFERROR((H33-F33)*10000,"n/a")</f>
        <v>531.9148936170212</v>
      </c>
      <c r="I34" s="2"/>
    </row>
    <row r="35">
      <c r="A35" s="1"/>
      <c r="B35" s="1" t="s">
        <v>145</v>
      </c>
      <c r="C35" s="41" t="s">
        <v>40</v>
      </c>
      <c r="D35" s="41" t="s">
        <v>40</v>
      </c>
      <c r="E35" s="41" t="s">
        <v>40</v>
      </c>
      <c r="F35" s="41" t="s">
        <v>40</v>
      </c>
      <c r="G35" s="41" t="s">
        <v>40</v>
      </c>
      <c r="H35" s="51">
        <f>IFERROR((H33-C33)*10000,"n/a")</f>
        <v>1241.1347517730496</v>
      </c>
      <c r="I35" s="2"/>
    </row>
    <row r="36">
      <c r="A36" s="1"/>
      <c r="B36" s="1" t="s">
        <v>146</v>
      </c>
      <c r="C36" s="8">
        <v>11000</v>
      </c>
      <c r="D36" s="8">
        <v>16000</v>
      </c>
      <c r="E36" s="8">
        <v>16000</v>
      </c>
      <c r="F36" s="8">
        <v>36000</v>
      </c>
      <c r="G36" s="3">
        <f>F36</f>
        <v>36000</v>
      </c>
      <c r="H36" s="44">
        <f>F36</f>
        <v>36000</v>
      </c>
      <c r="I36" s="2" t="s">
        <v>147</v>
      </c>
    </row>
    <row r="37">
      <c r="A37" s="1"/>
      <c r="B37" s="1" t="s">
        <v>148</v>
      </c>
      <c r="C37" s="8">
        <v>0</v>
      </c>
      <c r="D37" s="8">
        <v>0</v>
      </c>
      <c r="E37" s="8">
        <v>0</v>
      </c>
      <c r="F37" s="8">
        <v>7000</v>
      </c>
      <c r="G37" s="3">
        <f>F37</f>
        <v>7000</v>
      </c>
      <c r="H37" s="44">
        <f>C36</f>
        <v>11000</v>
      </c>
      <c r="I37" s="2" t="s">
        <v>149</v>
      </c>
    </row>
    <row r="38">
      <c r="A38" s="1"/>
      <c r="B38" s="1" t="s">
        <v>150</v>
      </c>
      <c r="C38" s="3">
        <f>IFERROR(C36-C37,"n/a")</f>
        <v>11000</v>
      </c>
      <c r="D38" s="3">
        <f>IFERROR(D36-D37,"n/a")</f>
        <v>16000</v>
      </c>
      <c r="E38" s="3">
        <f>IFERROR(E36-E37,"n/a")</f>
        <v>16000</v>
      </c>
      <c r="F38" s="3">
        <f>IFERROR(F36-F37,"n/a")</f>
        <v>29000</v>
      </c>
      <c r="G38" s="3">
        <f>IFERROR(G36-G37,"n/a")</f>
        <v>29000</v>
      </c>
      <c r="H38" s="44">
        <f>IFERROR(H36-C36,"n/a")</f>
        <v>25000</v>
      </c>
      <c r="I38" s="2"/>
    </row>
    <row r="39">
      <c r="A39" s="1"/>
      <c r="B39" s="1" t="s">
        <v>151</v>
      </c>
      <c r="C39" s="3">
        <f>IFERROR(C36-F37,"n/a")</f>
        <v>4000</v>
      </c>
      <c r="D39" s="3">
        <f>IFERROR(D36-C36,"n/a")</f>
        <v>5000</v>
      </c>
      <c r="E39" s="3">
        <f>IFERROR(E36-D36,"n/a")</f>
        <v>0</v>
      </c>
      <c r="F39" s="3">
        <f>IFERROR(F36-E36,"n/a")</f>
        <v>20000</v>
      </c>
      <c r="G39" s="3" t="s">
        <v>40</v>
      </c>
      <c r="H39" s="44">
        <f>IFERROR(H36-F36,"n/a")</f>
        <v>0</v>
      </c>
      <c r="I39" s="2"/>
    </row>
    <row r="40">
      <c r="A40" s="1"/>
      <c r="B40" s="1" t="s">
        <v>152</v>
      </c>
      <c r="C40" s="63">
        <v>1</v>
      </c>
      <c r="D40" s="63">
        <v>2</v>
      </c>
      <c r="E40" s="63">
        <v>2</v>
      </c>
      <c r="F40" s="63">
        <v>5</v>
      </c>
      <c r="G40" s="41">
        <f>F40</f>
        <v>5</v>
      </c>
      <c r="H40" s="51">
        <f>F40</f>
        <v>5</v>
      </c>
      <c r="I40" s="2" t="s">
        <v>153</v>
      </c>
    </row>
    <row r="41">
      <c r="A41" s="1"/>
      <c r="B41" s="1" t="s">
        <v>154</v>
      </c>
      <c r="C41" s="63">
        <v>0</v>
      </c>
      <c r="D41" s="63">
        <v>0</v>
      </c>
      <c r="E41" s="63">
        <v>0</v>
      </c>
      <c r="F41" s="63">
        <v>1</v>
      </c>
      <c r="G41" s="41">
        <f>F41</f>
        <v>1</v>
      </c>
      <c r="H41" s="51">
        <f>C40</f>
        <v>1</v>
      </c>
      <c r="I41" s="2" t="s">
        <v>155</v>
      </c>
    </row>
    <row r="42">
      <c r="A42" s="1"/>
      <c r="B42" s="1" t="s">
        <v>94</v>
      </c>
      <c r="C42" s="41">
        <f>IFERROR(C40-C41,"n/a")</f>
        <v>1</v>
      </c>
      <c r="D42" s="41">
        <f>IFERROR(D40-D41,"n/a")</f>
        <v>2</v>
      </c>
      <c r="E42" s="41">
        <f>IFERROR(E40-E41,"n/a")</f>
        <v>2</v>
      </c>
      <c r="F42" s="41">
        <f>IFERROR(F40-F41,"n/a")</f>
        <v>4</v>
      </c>
      <c r="G42" s="41">
        <f>IFERROR(G40-G41,"n/a")</f>
        <v>4</v>
      </c>
      <c r="H42" s="51">
        <f>IFERROR(H40-C40,"n/a")</f>
        <v>4</v>
      </c>
      <c r="I42" s="2"/>
    </row>
    <row r="43">
      <c r="A43" s="1"/>
      <c r="B43" s="1" t="s">
        <v>93</v>
      </c>
      <c r="C43" s="41">
        <f>IFERROR(C40-F41,"n/a")</f>
        <v>0</v>
      </c>
      <c r="D43" s="41">
        <f>IFERROR(D40-C40,"n/a")</f>
        <v>1</v>
      </c>
      <c r="E43" s="41">
        <f>IFERROR(E40-D40,"n/a")</f>
        <v>0</v>
      </c>
      <c r="F43" s="41">
        <f>IFERROR(F40-E40,"n/a")</f>
        <v>3</v>
      </c>
      <c r="G43" s="41" t="s">
        <v>40</v>
      </c>
      <c r="H43" s="51">
        <f>IFERROR(H40-F40,"n/a")</f>
        <v>0</v>
      </c>
      <c r="I43" s="2"/>
    </row>
    <row r="44">
      <c r="A44" s="1"/>
      <c r="B44" s="1" t="s">
        <v>156</v>
      </c>
      <c r="C44" s="63">
        <v>1</v>
      </c>
      <c r="D44" s="63">
        <v>2</v>
      </c>
      <c r="E44" s="63">
        <v>2</v>
      </c>
      <c r="F44" s="63">
        <v>3</v>
      </c>
      <c r="G44" s="41">
        <f>F44</f>
        <v>3</v>
      </c>
      <c r="H44" s="51">
        <f>F44</f>
        <v>3</v>
      </c>
      <c r="I44" s="2" t="s">
        <v>157</v>
      </c>
    </row>
    <row r="45">
      <c r="A45" s="1"/>
      <c r="B45" s="1" t="s">
        <v>158</v>
      </c>
      <c r="C45" s="63">
        <v>0</v>
      </c>
      <c r="D45" s="63">
        <v>0</v>
      </c>
      <c r="E45" s="63">
        <v>0</v>
      </c>
      <c r="F45" s="63">
        <v>1</v>
      </c>
      <c r="G45" s="41">
        <f>F45</f>
        <v>1</v>
      </c>
      <c r="H45" s="51">
        <f>C44</f>
        <v>1</v>
      </c>
      <c r="I45" s="2" t="s">
        <v>159</v>
      </c>
    </row>
    <row r="46">
      <c r="A46" s="1"/>
      <c r="B46" s="1" t="s">
        <v>94</v>
      </c>
      <c r="C46" s="41">
        <f>IFERROR(C44-C45,"n/a")</f>
        <v>1</v>
      </c>
      <c r="D46" s="41">
        <f>IFERROR(D44-D45,"n/a")</f>
        <v>2</v>
      </c>
      <c r="E46" s="41">
        <f>IFERROR(E44-E45,"n/a")</f>
        <v>2</v>
      </c>
      <c r="F46" s="41">
        <f>IFERROR(F44-F45,"n/a")</f>
        <v>2</v>
      </c>
      <c r="G46" s="41">
        <f>IFERROR(G44-G45,"n/a")</f>
        <v>2</v>
      </c>
      <c r="H46" s="51">
        <f>IFERROR(H44-C44,"n/a")</f>
        <v>2</v>
      </c>
      <c r="I46" s="2"/>
    </row>
    <row r="47">
      <c r="A47" s="1"/>
      <c r="B47" s="1" t="s">
        <v>93</v>
      </c>
      <c r="C47" s="41">
        <f>IFERROR(C44-F45,"n/a")</f>
        <v>0</v>
      </c>
      <c r="D47" s="41">
        <f>IFERROR(D44-C44,"n/a")</f>
        <v>1</v>
      </c>
      <c r="E47" s="41">
        <f>IFERROR(E44-D44,"n/a")</f>
        <v>0</v>
      </c>
      <c r="F47" s="41">
        <f>IFERROR(F44-E44,"n/a")</f>
        <v>1</v>
      </c>
      <c r="G47" s="41" t="s">
        <v>40</v>
      </c>
      <c r="H47" s="51">
        <f>IFERROR(H44-F44,"n/a")</f>
        <v>0</v>
      </c>
      <c r="I47" s="2"/>
    </row>
    <row r="48">
      <c r="A48" s="1"/>
      <c r="B48" s="1"/>
      <c r="C48" s="7"/>
      <c r="D48" s="7"/>
      <c r="E48" s="7"/>
      <c r="F48" s="7"/>
      <c r="G48" s="7"/>
      <c r="H48" s="42"/>
      <c r="I48" s="2"/>
    </row>
    <row r="49">
      <c r="A49" s="1"/>
      <c r="B49" s="14" t="s">
        <v>160</v>
      </c>
      <c r="C49" s="35"/>
      <c r="D49" s="35"/>
      <c r="E49" s="35"/>
      <c r="F49" s="35"/>
      <c r="G49" s="35"/>
      <c r="H49" s="36"/>
      <c r="I49" s="2"/>
    </row>
    <row r="50">
      <c r="A50" s="1"/>
      <c r="B50" s="1" t="s">
        <v>161</v>
      </c>
      <c r="C50" s="43" t="str">
        <f>IFERROR(C61/C22,"n/a")</f>
        <v>n/a</v>
      </c>
      <c r="D50" s="43">
        <f>IFERROR(D61/D22,"n/a")</f>
        <v>0.4368</v>
      </c>
      <c r="E50" s="43">
        <f>IFERROR(E61/E22,"n/a")</f>
        <v>0.441</v>
      </c>
      <c r="F50" s="43">
        <f>IFERROR(F61/F22,"n/a")</f>
        <v>0.44061999999999996</v>
      </c>
      <c r="G50" s="43" t="s">
        <v>40</v>
      </c>
      <c r="H50" s="55">
        <f>F50</f>
        <v>0.44061999999999996</v>
      </c>
      <c r="I50" s="2" t="s">
        <v>162</v>
      </c>
    </row>
    <row r="51">
      <c r="A51" s="1"/>
      <c r="B51" s="1" t="s">
        <v>93</v>
      </c>
      <c r="C51" s="43" t="s">
        <v>40</v>
      </c>
      <c r="D51" s="43" t="str">
        <f>IFERROR(D50-C50,"n/a")</f>
        <v>n/a</v>
      </c>
      <c r="E51" s="43">
        <f>IFERROR(E50-D50,"n/a")</f>
        <v>0.0041999999999999815</v>
      </c>
      <c r="F51" s="43">
        <f>IFERROR(F50-E50,"n/a")</f>
        <v>-0.00038000000000004697</v>
      </c>
      <c r="G51" s="43" t="s">
        <v>40</v>
      </c>
      <c r="H51" s="55">
        <f>IFERROR(H50-F50,"n/a")</f>
        <v>0</v>
      </c>
      <c r="I51" s="2"/>
    </row>
    <row r="52">
      <c r="A52" s="1"/>
      <c r="B52" s="1" t="s">
        <v>94</v>
      </c>
      <c r="C52" s="43" t="s">
        <v>40</v>
      </c>
      <c r="D52" s="43" t="s">
        <v>40</v>
      </c>
      <c r="E52" s="43" t="s">
        <v>40</v>
      </c>
      <c r="F52" s="43" t="s">
        <v>40</v>
      </c>
      <c r="G52" s="43" t="s">
        <v>40</v>
      </c>
      <c r="H52" s="55" t="str">
        <f>IFERROR(H50-C50,"n/a")</f>
        <v>n/a</v>
      </c>
      <c r="I52" s="2"/>
    </row>
    <row r="53">
      <c r="A53" s="1"/>
      <c r="B53" s="1" t="s">
        <v>163</v>
      </c>
      <c r="C53" s="43" t="str">
        <f>IFERROR(C50*365/C$8,"n/a")</f>
        <v>n/a</v>
      </c>
      <c r="D53" s="43">
        <f>IFERROR(D50*365/D$8,"n/a")</f>
        <v>1.7520000000000002</v>
      </c>
      <c r="E53" s="43">
        <f>IFERROR(E50*365/E$8,"n/a")</f>
        <v>1.7885</v>
      </c>
      <c r="F53" s="43">
        <f>IFERROR(F50*365/F$8,"n/a")</f>
        <v>1.748111956521739</v>
      </c>
      <c r="G53" s="43" t="str">
        <f>IFERROR(G50*365/G$8,"n/a")</f>
        <v>n/a</v>
      </c>
      <c r="H53" s="55">
        <f>IFERROR(H50*365/H$8,"n/a")</f>
        <v>1.748111956521739</v>
      </c>
      <c r="I53" s="2"/>
    </row>
    <row r="54">
      <c r="A54" s="1"/>
      <c r="B54" s="1" t="s">
        <v>93</v>
      </c>
      <c r="C54" s="43" t="s">
        <v>40</v>
      </c>
      <c r="D54" s="43" t="str">
        <f>IFERROR(D53-C53,"n/a")</f>
        <v>n/a</v>
      </c>
      <c r="E54" s="43">
        <f>IFERROR(E53-D53,"n/a")</f>
        <v>0.036499999999999755</v>
      </c>
      <c r="F54" s="43">
        <f>IFERROR(F53-E53,"n/a")</f>
        <v>-0.04038804347826108</v>
      </c>
      <c r="G54" s="43" t="s">
        <v>40</v>
      </c>
      <c r="H54" s="55">
        <f>IFERROR(H53-F53,"n/a")</f>
        <v>0</v>
      </c>
      <c r="I54" s="2"/>
    </row>
    <row r="55">
      <c r="A55" s="1"/>
      <c r="B55" s="1" t="s">
        <v>94</v>
      </c>
      <c r="C55" s="43" t="s">
        <v>40</v>
      </c>
      <c r="D55" s="43" t="s">
        <v>40</v>
      </c>
      <c r="E55" s="43" t="s">
        <v>40</v>
      </c>
      <c r="F55" s="43" t="s">
        <v>40</v>
      </c>
      <c r="G55" s="43" t="s">
        <v>40</v>
      </c>
      <c r="H55" s="55" t="str">
        <f>IFERROR(H53-C53,"n/a")</f>
        <v>n/a</v>
      </c>
      <c r="I55" s="2"/>
    </row>
    <row r="56">
      <c r="A56" s="1"/>
      <c r="B56" s="1" t="s">
        <v>164</v>
      </c>
      <c r="C56" s="43" t="str">
        <f>IFERROR(C70/C22,"n/a")</f>
        <v>n/a</v>
      </c>
      <c r="D56" s="43">
        <f>IFERROR(D70/D22,"n/a")</f>
        <v>0</v>
      </c>
      <c r="E56" s="43">
        <f>IFERROR(E70/E22,"n/a")</f>
        <v>0.081</v>
      </c>
      <c r="F56" s="43">
        <f>IFERROR(F70/F22,"n/a")</f>
        <v>0.065</v>
      </c>
      <c r="G56" s="43" t="s">
        <v>40</v>
      </c>
      <c r="H56" s="55">
        <f>F56</f>
        <v>0.065</v>
      </c>
      <c r="I56" s="2" t="s">
        <v>165</v>
      </c>
    </row>
    <row r="57">
      <c r="A57" s="1"/>
      <c r="B57" s="1" t="s">
        <v>93</v>
      </c>
      <c r="C57" s="43" t="s">
        <v>40</v>
      </c>
      <c r="D57" s="43" t="str">
        <f>IFERROR(D56-C56,"n/a")</f>
        <v>n/a</v>
      </c>
      <c r="E57" s="43">
        <f>IFERROR(E56-D56,"n/a")</f>
        <v>0.081</v>
      </c>
      <c r="F57" s="43">
        <f>IFERROR(F56-E56,"n/a")</f>
        <v>-0.016</v>
      </c>
      <c r="G57" s="43" t="s">
        <v>40</v>
      </c>
      <c r="H57" s="55">
        <f>IFERROR(H56-F56,"n/a")</f>
        <v>0</v>
      </c>
      <c r="I57" s="2"/>
    </row>
    <row r="58">
      <c r="A58" s="1"/>
      <c r="B58" s="1" t="s">
        <v>94</v>
      </c>
      <c r="C58" s="43" t="s">
        <v>40</v>
      </c>
      <c r="D58" s="43" t="s">
        <v>40</v>
      </c>
      <c r="E58" s="43" t="s">
        <v>40</v>
      </c>
      <c r="F58" s="43" t="s">
        <v>40</v>
      </c>
      <c r="G58" s="43" t="s">
        <v>40</v>
      </c>
      <c r="H58" s="55" t="str">
        <f>IFERROR(H56-C56,"n/a")</f>
        <v>n/a</v>
      </c>
      <c r="I58" s="2"/>
    </row>
    <row r="59">
      <c r="A59" s="1"/>
      <c r="B59" s="1"/>
      <c r="C59" s="7"/>
      <c r="D59" s="7"/>
      <c r="E59" s="7"/>
      <c r="F59" s="7"/>
      <c r="G59" s="7"/>
      <c r="H59" s="42"/>
      <c r="I59" s="2"/>
    </row>
    <row r="60">
      <c r="A60" s="1"/>
      <c r="B60" s="14" t="s">
        <v>166</v>
      </c>
      <c r="C60" s="35"/>
      <c r="D60" s="35"/>
      <c r="E60" s="35"/>
      <c r="F60" s="35"/>
      <c r="G60" s="35"/>
      <c r="H60" s="36"/>
      <c r="I60" s="2"/>
    </row>
    <row r="61">
      <c r="A61" s="1"/>
      <c r="B61" s="1" t="s">
        <v>167</v>
      </c>
      <c r="C61" s="8">
        <v>0</v>
      </c>
      <c r="D61" s="8">
        <v>12</v>
      </c>
      <c r="E61" s="8">
        <v>44.1</v>
      </c>
      <c r="F61" s="8">
        <v>44.062</v>
      </c>
      <c r="G61" s="3">
        <f>SUM(C61:F61)</f>
        <v>100.162</v>
      </c>
      <c r="H61" s="44">
        <f>H22*H50</f>
        <v>66.33246739130433</v>
      </c>
      <c r="I61" s="2" t="s">
        <v>168</v>
      </c>
    </row>
    <row r="62">
      <c r="A62" s="1"/>
      <c r="B62" s="1" t="s">
        <v>74</v>
      </c>
      <c r="C62" s="8">
        <v>0</v>
      </c>
      <c r="D62" s="8">
        <v>0</v>
      </c>
      <c r="E62" s="8">
        <v>0</v>
      </c>
      <c r="F62" s="8">
        <v>0</v>
      </c>
      <c r="G62" s="3">
        <f>SUM(C62:F62)</f>
        <v>0</v>
      </c>
      <c r="H62" s="44">
        <f>C61</f>
        <v>0</v>
      </c>
      <c r="I62" s="2"/>
    </row>
    <row r="63">
      <c r="A63" s="1"/>
      <c r="B63" s="25" t="s">
        <v>75</v>
      </c>
      <c r="C63" s="23" t="str">
        <f>IF(C62=0,"n/m",C61/C62-1)</f>
        <v>n/m</v>
      </c>
      <c r="D63" s="23" t="str">
        <f>IF(D62=0,"n/m",D61/D62-1)</f>
        <v>n/m</v>
      </c>
      <c r="E63" s="23" t="str">
        <f>IF(E62=0,"n/m",E61/E62-1)</f>
        <v>n/m</v>
      </c>
      <c r="F63" s="23" t="str">
        <f>IF(F62=0,"n/m",F61/F62-1)</f>
        <v>n/m</v>
      </c>
      <c r="G63" s="23" t="str">
        <f>IF(G62=0,"n/m",G61/G62-1)</f>
        <v>n/m</v>
      </c>
      <c r="H63" s="50" t="str">
        <f>IF(H62=0,"n/m",H61/H62-1)</f>
        <v>n/m</v>
      </c>
      <c r="I63" s="2"/>
    </row>
    <row r="64">
      <c r="A64" s="1"/>
      <c r="B64" s="25" t="s">
        <v>76</v>
      </c>
      <c r="C64" s="23" t="str">
        <f>IF(F62=0,"n/m",C61/F62-1)</f>
        <v>n/m</v>
      </c>
      <c r="D64" s="23" t="str">
        <f>IFERROR(IF(C61=0,"n/m",D61/C61-1),"n/a")</f>
        <v>n/m</v>
      </c>
      <c r="E64" s="23">
        <f>IFERROR(IF(D61=0,"n/m",E61/D61-1),"n/a")</f>
        <v>2.6750000000000003</v>
      </c>
      <c r="F64" s="23">
        <f>IFERROR(IF(E61=0,"n/m",F61/E61-1),"n/a")</f>
        <v>-0.0008616780045351824</v>
      </c>
      <c r="G64" s="23" t="s">
        <v>40</v>
      </c>
      <c r="H64" s="50">
        <f>IFERROR(IF(F61=0,"n/m",H61/F61-1),"n/a")</f>
        <v>0.5054347826086953</v>
      </c>
      <c r="I64" s="2"/>
    </row>
    <row r="65">
      <c r="A65" s="1"/>
      <c r="B65" s="1" t="s">
        <v>93</v>
      </c>
      <c r="C65" s="3">
        <f>IFERROR(C61-F62,"n/a")</f>
        <v>0</v>
      </c>
      <c r="D65" s="3">
        <f>IFERROR(D61-C61,"n/a")</f>
        <v>12</v>
      </c>
      <c r="E65" s="3">
        <f>IFERROR(E61-D61,"n/a")</f>
        <v>32.1</v>
      </c>
      <c r="F65" s="3">
        <f>IFERROR(F61-E61,"n/a")</f>
        <v>-0.03800000000000381</v>
      </c>
      <c r="G65" s="3" t="s">
        <v>40</v>
      </c>
      <c r="H65" s="44">
        <f>IFERROR(H61-F61,"n/a")</f>
        <v>22.270467391304337</v>
      </c>
      <c r="I65" s="2"/>
    </row>
    <row r="66">
      <c r="A66" s="1"/>
      <c r="B66" s="25" t="s">
        <v>78</v>
      </c>
      <c r="C66" s="45">
        <v>0</v>
      </c>
      <c r="D66" s="45">
        <v>0</v>
      </c>
      <c r="E66" s="45">
        <v>0</v>
      </c>
      <c r="F66" s="45">
        <v>0</v>
      </c>
      <c r="G66" s="45">
        <v>0</v>
      </c>
      <c r="H66" s="46">
        <v>0</v>
      </c>
      <c r="I66" s="2" t="s">
        <v>79</v>
      </c>
    </row>
    <row r="67">
      <c r="A67" s="1"/>
      <c r="B67" s="25" t="s">
        <v>80</v>
      </c>
      <c r="C67" s="45">
        <v>0</v>
      </c>
      <c r="D67" s="45">
        <v>0</v>
      </c>
      <c r="E67" s="45">
        <v>0</v>
      </c>
      <c r="F67" s="45">
        <v>0</v>
      </c>
      <c r="G67" s="45">
        <v>0</v>
      </c>
      <c r="H67" s="46">
        <v>0</v>
      </c>
      <c r="I67" s="2" t="s">
        <v>81</v>
      </c>
    </row>
    <row r="68">
      <c r="A68" s="1"/>
      <c r="B68" s="25" t="s">
        <v>82</v>
      </c>
      <c r="C68" s="23" t="str">
        <f>IFERROR((1+C63)/((1+C66)*(1+C67))-1,"n/m")</f>
        <v>n/m</v>
      </c>
      <c r="D68" s="23" t="str">
        <f>IFERROR((1+D63)/((1+D66)*(1+D67))-1,"n/m")</f>
        <v>n/m</v>
      </c>
      <c r="E68" s="23" t="str">
        <f>IFERROR((1+E63)/((1+E66)*(1+E67))-1,"n/m")</f>
        <v>n/m</v>
      </c>
      <c r="F68" s="23" t="str">
        <f>IFERROR((1+F63)/((1+F66)*(1+F67))-1,"n/m")</f>
        <v>n/m</v>
      </c>
      <c r="G68" s="23" t="str">
        <f>IFERROR((1+G63)/((1+G66)*(1+G67))-1,"n/m")</f>
        <v>n/m</v>
      </c>
      <c r="H68" s="50" t="str">
        <f>IFERROR((1+H63)/((1+H66)*(1+H67))-1,"n/m")</f>
        <v>n/m</v>
      </c>
      <c r="I68" s="2"/>
    </row>
    <row r="69">
      <c r="A69" s="1"/>
      <c r="B69" s="25" t="s">
        <v>83</v>
      </c>
      <c r="C69" s="23" t="str">
        <f>C63</f>
        <v>n/m</v>
      </c>
      <c r="D69" s="23" t="str">
        <f>D63</f>
        <v>n/m</v>
      </c>
      <c r="E69" s="23" t="str">
        <f>E63</f>
        <v>n/m</v>
      </c>
      <c r="F69" s="23" t="str">
        <f>F63</f>
        <v>n/m</v>
      </c>
      <c r="G69" s="23" t="str">
        <f>G63</f>
        <v>n/m</v>
      </c>
      <c r="H69" s="50" t="str">
        <f>H63</f>
        <v>n/m</v>
      </c>
      <c r="I69" s="2"/>
    </row>
    <row r="70">
      <c r="A70" s="1"/>
      <c r="B70" s="1" t="s">
        <v>169</v>
      </c>
      <c r="C70" s="8">
        <v>0</v>
      </c>
      <c r="D70" s="8">
        <v>0</v>
      </c>
      <c r="E70" s="8">
        <v>8.1</v>
      </c>
      <c r="F70" s="8">
        <v>6.5</v>
      </c>
      <c r="G70" s="3">
        <f>SUM(C70:F70)</f>
        <v>14.6</v>
      </c>
      <c r="H70" s="44">
        <f>H22*H56</f>
        <v>9.785326086956522</v>
      </c>
      <c r="I70" s="2" t="s">
        <v>170</v>
      </c>
    </row>
    <row r="71">
      <c r="A71" s="1"/>
      <c r="B71" s="1" t="s">
        <v>74</v>
      </c>
      <c r="C71" s="8">
        <v>0</v>
      </c>
      <c r="D71" s="8">
        <v>0</v>
      </c>
      <c r="E71" s="8">
        <v>0</v>
      </c>
      <c r="F71" s="8">
        <v>0</v>
      </c>
      <c r="G71" s="3">
        <f>SUM(C71:F71)</f>
        <v>0</v>
      </c>
      <c r="H71" s="44">
        <f>C70</f>
        <v>0</v>
      </c>
      <c r="I71" s="2"/>
    </row>
    <row r="72">
      <c r="A72" s="1"/>
      <c r="B72" s="25" t="s">
        <v>75</v>
      </c>
      <c r="C72" s="23" t="str">
        <f>IF(C71=0,"n/m",C70/C71-1)</f>
        <v>n/m</v>
      </c>
      <c r="D72" s="23" t="str">
        <f>IF(D71=0,"n/m",D70/D71-1)</f>
        <v>n/m</v>
      </c>
      <c r="E72" s="23" t="str">
        <f>IF(E71=0,"n/m",E70/E71-1)</f>
        <v>n/m</v>
      </c>
      <c r="F72" s="23" t="str">
        <f>IF(F71=0,"n/m",F70/F71-1)</f>
        <v>n/m</v>
      </c>
      <c r="G72" s="23" t="str">
        <f>IF(G71=0,"n/m",G70/G71-1)</f>
        <v>n/m</v>
      </c>
      <c r="H72" s="50" t="str">
        <f>IF(H71=0,"n/m",H70/H71-1)</f>
        <v>n/m</v>
      </c>
      <c r="I72" s="2"/>
    </row>
    <row r="73">
      <c r="A73" s="1"/>
      <c r="B73" s="25" t="s">
        <v>76</v>
      </c>
      <c r="C73" s="23" t="str">
        <f>IF(F71=0,"n/m",C70/F71-1)</f>
        <v>n/m</v>
      </c>
      <c r="D73" s="23" t="str">
        <f>IFERROR(IF(C70=0,"n/m",D70/C70-1),"n/a")</f>
        <v>n/m</v>
      </c>
      <c r="E73" s="23" t="str">
        <f>IFERROR(IF(D70=0,"n/m",E70/D70-1),"n/a")</f>
        <v>n/m</v>
      </c>
      <c r="F73" s="23">
        <f>IFERROR(IF(E70=0,"n/m",F70/E70-1),"n/a")</f>
        <v>-0.19753086419753085</v>
      </c>
      <c r="G73" s="23" t="s">
        <v>40</v>
      </c>
      <c r="H73" s="50">
        <f>IFERROR(IF(F70=0,"n/m",H70/F70-1),"n/a")</f>
        <v>0.5054347826086956</v>
      </c>
      <c r="I73" s="2"/>
    </row>
    <row r="74">
      <c r="A74" s="1"/>
      <c r="B74" s="25" t="s">
        <v>78</v>
      </c>
      <c r="C74" s="45">
        <v>0</v>
      </c>
      <c r="D74" s="45">
        <v>0</v>
      </c>
      <c r="E74" s="45">
        <v>0</v>
      </c>
      <c r="F74" s="45">
        <v>0</v>
      </c>
      <c r="G74" s="45">
        <v>0</v>
      </c>
      <c r="H74" s="46">
        <v>0</v>
      </c>
      <c r="I74" s="2" t="s">
        <v>79</v>
      </c>
    </row>
    <row r="75">
      <c r="A75" s="1"/>
      <c r="B75" s="25" t="s">
        <v>80</v>
      </c>
      <c r="C75" s="45">
        <v>0</v>
      </c>
      <c r="D75" s="45">
        <v>0</v>
      </c>
      <c r="E75" s="45">
        <v>0</v>
      </c>
      <c r="F75" s="45">
        <v>0</v>
      </c>
      <c r="G75" s="45">
        <v>0</v>
      </c>
      <c r="H75" s="46">
        <v>0</v>
      </c>
      <c r="I75" s="2" t="s">
        <v>81</v>
      </c>
    </row>
    <row r="76">
      <c r="A76" s="1"/>
      <c r="B76" s="25" t="s">
        <v>82</v>
      </c>
      <c r="C76" s="23" t="str">
        <f>IFERROR((1+C72)/((1+C74)*(1+C75))-1,"n/m")</f>
        <v>n/m</v>
      </c>
      <c r="D76" s="23" t="str">
        <f>IFERROR((1+D72)/((1+D74)*(1+D75))-1,"n/m")</f>
        <v>n/m</v>
      </c>
      <c r="E76" s="23" t="str">
        <f>IFERROR((1+E72)/((1+E74)*(1+E75))-1,"n/m")</f>
        <v>n/m</v>
      </c>
      <c r="F76" s="23" t="str">
        <f>IFERROR((1+F72)/((1+F74)*(1+F75))-1,"n/m")</f>
        <v>n/m</v>
      </c>
      <c r="G76" s="23" t="str">
        <f>IFERROR((1+G72)/((1+G74)*(1+G75))-1,"n/m")</f>
        <v>n/m</v>
      </c>
      <c r="H76" s="50" t="str">
        <f>IFERROR((1+H72)/((1+H74)*(1+H75))-1,"n/m")</f>
        <v>n/m</v>
      </c>
      <c r="I76" s="2"/>
    </row>
    <row r="77">
      <c r="A77" s="1"/>
      <c r="B77" s="25" t="s">
        <v>83</v>
      </c>
      <c r="C77" s="23" t="str">
        <f>C72</f>
        <v>n/m</v>
      </c>
      <c r="D77" s="23" t="str">
        <f>D72</f>
        <v>n/m</v>
      </c>
      <c r="E77" s="23" t="str">
        <f>E72</f>
        <v>n/m</v>
      </c>
      <c r="F77" s="23" t="str">
        <f>F72</f>
        <v>n/m</v>
      </c>
      <c r="G77" s="23" t="str">
        <f>G72</f>
        <v>n/m</v>
      </c>
      <c r="H77" s="50" t="str">
        <f>H72</f>
        <v>n/m</v>
      </c>
      <c r="I77" s="2"/>
    </row>
    <row r="78">
      <c r="A78" s="1"/>
      <c r="B78" s="14" t="s">
        <v>171</v>
      </c>
      <c r="C78" s="37">
        <f>C61+C70</f>
        <v>0</v>
      </c>
      <c r="D78" s="37">
        <f>D61+D70</f>
        <v>12</v>
      </c>
      <c r="E78" s="37">
        <f>E61+E70</f>
        <v>52.2</v>
      </c>
      <c r="F78" s="37">
        <f>F61+F70</f>
        <v>50.562</v>
      </c>
      <c r="G78" s="37">
        <f>G61+G70</f>
        <v>114.762</v>
      </c>
      <c r="H78" s="56">
        <f>H61+H70</f>
        <v>76.11779347826085</v>
      </c>
      <c r="I78" s="2"/>
    </row>
    <row r="79">
      <c r="A79" s="1"/>
      <c r="B79" s="1" t="s">
        <v>74</v>
      </c>
      <c r="C79" s="8">
        <v>0</v>
      </c>
      <c r="D79" s="8">
        <v>0</v>
      </c>
      <c r="E79" s="8">
        <v>0</v>
      </c>
      <c r="F79" s="8">
        <v>0</v>
      </c>
      <c r="G79" s="3">
        <f>SUM(C79:F79)</f>
        <v>0</v>
      </c>
      <c r="H79" s="44">
        <f>C78</f>
        <v>0</v>
      </c>
      <c r="I79" s="2"/>
    </row>
    <row r="80">
      <c r="A80" s="1"/>
      <c r="B80" s="25" t="s">
        <v>75</v>
      </c>
      <c r="C80" s="23" t="str">
        <f>IF(C79=0,"n/m",C78/C79-1)</f>
        <v>n/m</v>
      </c>
      <c r="D80" s="23" t="str">
        <f>IF(D79=0,"n/m",D78/D79-1)</f>
        <v>n/m</v>
      </c>
      <c r="E80" s="23" t="str">
        <f>IF(E79=0,"n/m",E78/E79-1)</f>
        <v>n/m</v>
      </c>
      <c r="F80" s="23" t="str">
        <f>IF(F79=0,"n/m",F78/F79-1)</f>
        <v>n/m</v>
      </c>
      <c r="G80" s="23" t="str">
        <f>IF(G79=0,"n/m",G78/G79-1)</f>
        <v>n/m</v>
      </c>
      <c r="H80" s="50" t="str">
        <f>IF(H79=0,"n/m",H78/H79-1)</f>
        <v>n/m</v>
      </c>
      <c r="I80" s="2"/>
    </row>
    <row r="81">
      <c r="A81" s="1"/>
      <c r="B81" s="25" t="s">
        <v>76</v>
      </c>
      <c r="C81" s="23" t="str">
        <f>IF(F79=0,"n/m",C78/F79-1)</f>
        <v>n/m</v>
      </c>
      <c r="D81" s="23" t="str">
        <f>IFERROR(IF(C78=0,"n/m",D78/C78-1),"n/a")</f>
        <v>n/m</v>
      </c>
      <c r="E81" s="23">
        <f>IFERROR(IF(D78=0,"n/m",E78/D78-1),"n/a")</f>
        <v>3.3500000000000005</v>
      </c>
      <c r="F81" s="23">
        <f>IFERROR(IF(E78=0,"n/m",F78/E78-1),"n/a")</f>
        <v>-0.03137931034482766</v>
      </c>
      <c r="G81" s="23" t="s">
        <v>40</v>
      </c>
      <c r="H81" s="50">
        <f>IFERROR(IF(F78=0,"n/m",H78/F78-1),"n/a")</f>
        <v>0.5054347826086953</v>
      </c>
      <c r="I81" s="2"/>
    </row>
    <row r="82">
      <c r="A82" s="1"/>
      <c r="B82" s="25" t="s">
        <v>78</v>
      </c>
      <c r="C82" s="45">
        <v>0</v>
      </c>
      <c r="D82" s="45">
        <v>0</v>
      </c>
      <c r="E82" s="45">
        <v>0</v>
      </c>
      <c r="F82" s="45">
        <v>0</v>
      </c>
      <c r="G82" s="45">
        <v>0</v>
      </c>
      <c r="H82" s="46">
        <v>0</v>
      </c>
      <c r="I82" s="2" t="s">
        <v>79</v>
      </c>
    </row>
    <row r="83">
      <c r="A83" s="1"/>
      <c r="B83" s="25" t="s">
        <v>80</v>
      </c>
      <c r="C83" s="45">
        <v>0</v>
      </c>
      <c r="D83" s="45">
        <v>0</v>
      </c>
      <c r="E83" s="45">
        <v>0</v>
      </c>
      <c r="F83" s="45">
        <v>0</v>
      </c>
      <c r="G83" s="45">
        <v>0</v>
      </c>
      <c r="H83" s="46">
        <v>0</v>
      </c>
      <c r="I83" s="2" t="s">
        <v>81</v>
      </c>
    </row>
    <row r="84">
      <c r="A84" s="1"/>
      <c r="B84" s="25" t="s">
        <v>82</v>
      </c>
      <c r="C84" s="23" t="str">
        <f>IFERROR((1+C80)/((1+C82)*(1+C83))-1,"n/m")</f>
        <v>n/m</v>
      </c>
      <c r="D84" s="23" t="str">
        <f>IFERROR((1+D80)/((1+D82)*(1+D83))-1,"n/m")</f>
        <v>n/m</v>
      </c>
      <c r="E84" s="23" t="str">
        <f>IFERROR((1+E80)/((1+E82)*(1+E83))-1,"n/m")</f>
        <v>n/m</v>
      </c>
      <c r="F84" s="23" t="str">
        <f>IFERROR((1+F80)/((1+F82)*(1+F83))-1,"n/m")</f>
        <v>n/m</v>
      </c>
      <c r="G84" s="23" t="str">
        <f>IFERROR((1+G80)/((1+G82)*(1+G83))-1,"n/m")</f>
        <v>n/m</v>
      </c>
      <c r="H84" s="50" t="str">
        <f>IFERROR((1+H80)/((1+H82)*(1+H83))-1,"n/m")</f>
        <v>n/m</v>
      </c>
      <c r="I84" s="2"/>
    </row>
    <row r="85">
      <c r="A85" s="1"/>
      <c r="B85" s="25" t="s">
        <v>83</v>
      </c>
      <c r="C85" s="23" t="str">
        <f>C80</f>
        <v>n/m</v>
      </c>
      <c r="D85" s="23" t="str">
        <f>D80</f>
        <v>n/m</v>
      </c>
      <c r="E85" s="23" t="str">
        <f>E80</f>
        <v>n/m</v>
      </c>
      <c r="F85" s="23" t="str">
        <f>F80</f>
        <v>n/m</v>
      </c>
      <c r="G85" s="23" t="str">
        <f>G80</f>
        <v>n/m</v>
      </c>
      <c r="H85" s="50" t="str">
        <f>H80</f>
        <v>n/m</v>
      </c>
      <c r="I85" s="2"/>
    </row>
    <row r="86">
      <c r="A86" s="1"/>
      <c r="B86" s="1" t="s">
        <v>172</v>
      </c>
      <c r="C86" s="3">
        <f>C95-C78</f>
        <v>26.296</v>
      </c>
      <c r="D86" s="3">
        <f>D95-D78</f>
        <v>72.992</v>
      </c>
      <c r="E86" s="3">
        <f>E95-E78</f>
        <v>18.807999999999993</v>
      </c>
      <c r="F86" s="3">
        <f>F95-F78</f>
        <v>152.44599999999997</v>
      </c>
      <c r="G86" s="3">
        <f>SUM(C86:F86)</f>
        <v>270.542</v>
      </c>
      <c r="H86" s="44">
        <f>H117</f>
        <v>71.18410000000003</v>
      </c>
      <c r="I86" s="2" t="s">
        <v>173</v>
      </c>
    </row>
    <row r="87">
      <c r="A87" s="1"/>
      <c r="B87" s="1" t="s">
        <v>74</v>
      </c>
      <c r="C87" s="8">
        <v>0</v>
      </c>
      <c r="D87" s="8">
        <v>0</v>
      </c>
      <c r="E87" s="8">
        <v>0</v>
      </c>
      <c r="F87" s="8">
        <v>0</v>
      </c>
      <c r="G87" s="3">
        <f>SUM(C87:F87)</f>
        <v>0</v>
      </c>
      <c r="H87" s="44">
        <f>C86</f>
        <v>26.296</v>
      </c>
      <c r="I87" s="2"/>
    </row>
    <row r="88">
      <c r="A88" s="1"/>
      <c r="B88" s="25" t="s">
        <v>75</v>
      </c>
      <c r="C88" s="23" t="str">
        <f>IF(C87=0,"n/m",C86/C87-1)</f>
        <v>n/m</v>
      </c>
      <c r="D88" s="23" t="str">
        <f>IF(D87=0,"n/m",D86/D87-1)</f>
        <v>n/m</v>
      </c>
      <c r="E88" s="23" t="str">
        <f>IF(E87=0,"n/m",E86/E87-1)</f>
        <v>n/m</v>
      </c>
      <c r="F88" s="23" t="str">
        <f>IF(F87=0,"n/m",F86/F87-1)</f>
        <v>n/m</v>
      </c>
      <c r="G88" s="23" t="str">
        <f>IF(G87=0,"n/m",G86/G87-1)</f>
        <v>n/m</v>
      </c>
      <c r="H88" s="50">
        <f>IF(H87=0,"n/m",H86/H87-1)</f>
        <v>1.7070314876787358</v>
      </c>
      <c r="I88" s="2"/>
    </row>
    <row r="89">
      <c r="A89" s="1"/>
      <c r="B89" s="25" t="s">
        <v>76</v>
      </c>
      <c r="C89" s="23" t="str">
        <f>IF(F87=0,"n/m",C86/F87-1)</f>
        <v>n/m</v>
      </c>
      <c r="D89" s="23">
        <f>IFERROR(IF(C86=0,"n/m",D86/C86-1),"n/a")</f>
        <v>1.7757833891086099</v>
      </c>
      <c r="E89" s="23">
        <f>IFERROR(IF(D86=0,"n/m",E86/D86-1),"n/a")</f>
        <v>-0.7423279263480931</v>
      </c>
      <c r="F89" s="23">
        <f>IFERROR(IF(E86=0,"n/m",F86/E86-1),"n/a")</f>
        <v>7.1053806890684825</v>
      </c>
      <c r="G89" s="23" t="s">
        <v>40</v>
      </c>
      <c r="H89" s="50">
        <f>IFERROR(IF(F86=0,"n/m",H86/F86-1),"n/a")</f>
        <v>-0.5330536714639935</v>
      </c>
      <c r="I89" s="2"/>
    </row>
    <row r="90">
      <c r="A90" s="1"/>
      <c r="B90" s="1" t="s">
        <v>93</v>
      </c>
      <c r="C90" s="3">
        <f>IFERROR(C86-F87,"n/a")</f>
        <v>26.296</v>
      </c>
      <c r="D90" s="3">
        <f>IFERROR(D86-C86,"n/a")</f>
        <v>46.696000000000005</v>
      </c>
      <c r="E90" s="3">
        <f>IFERROR(E86-D86,"n/a")</f>
        <v>-54.18400000000001</v>
      </c>
      <c r="F90" s="3">
        <f>IFERROR(F86-E86,"n/a")</f>
        <v>133.63799999999998</v>
      </c>
      <c r="G90" s="3" t="s">
        <v>40</v>
      </c>
      <c r="H90" s="44">
        <f>IFERROR(H86-F86,"n/a")</f>
        <v>-81.26189999999994</v>
      </c>
      <c r="I90" s="2"/>
    </row>
    <row r="91">
      <c r="A91" s="1"/>
      <c r="B91" s="25" t="s">
        <v>78</v>
      </c>
      <c r="C91" s="45">
        <v>0</v>
      </c>
      <c r="D91" s="45">
        <v>0</v>
      </c>
      <c r="E91" s="45">
        <v>0</v>
      </c>
      <c r="F91" s="45">
        <v>0</v>
      </c>
      <c r="G91" s="45">
        <v>0</v>
      </c>
      <c r="H91" s="46">
        <v>0</v>
      </c>
      <c r="I91" s="2" t="s">
        <v>79</v>
      </c>
    </row>
    <row r="92">
      <c r="A92" s="1"/>
      <c r="B92" s="25" t="s">
        <v>80</v>
      </c>
      <c r="C92" s="45">
        <v>0</v>
      </c>
      <c r="D92" s="45">
        <v>0</v>
      </c>
      <c r="E92" s="45">
        <v>0</v>
      </c>
      <c r="F92" s="45">
        <v>0</v>
      </c>
      <c r="G92" s="45">
        <v>0</v>
      </c>
      <c r="H92" s="46">
        <v>0</v>
      </c>
      <c r="I92" s="2" t="s">
        <v>81</v>
      </c>
    </row>
    <row r="93">
      <c r="A93" s="1"/>
      <c r="B93" s="25" t="s">
        <v>82</v>
      </c>
      <c r="C93" s="23" t="str">
        <f>IFERROR((1+C88)/((1+C91)*(1+C92))-1,"n/m")</f>
        <v>n/m</v>
      </c>
      <c r="D93" s="23" t="str">
        <f>IFERROR((1+D88)/((1+D91)*(1+D92))-1,"n/m")</f>
        <v>n/m</v>
      </c>
      <c r="E93" s="23" t="str">
        <f>IFERROR((1+E88)/((1+E91)*(1+E92))-1,"n/m")</f>
        <v>n/m</v>
      </c>
      <c r="F93" s="23" t="str">
        <f>IFERROR((1+F88)/((1+F91)*(1+F92))-1,"n/m")</f>
        <v>n/m</v>
      </c>
      <c r="G93" s="23" t="str">
        <f>IFERROR((1+G88)/((1+G91)*(1+G92))-1,"n/m")</f>
        <v>n/m</v>
      </c>
      <c r="H93" s="50">
        <f>IFERROR((1+H88)/((1+H91)*(1+H92))-1,"n/m")</f>
        <v>1.7070314876787358</v>
      </c>
      <c r="I93" s="2"/>
    </row>
    <row r="94">
      <c r="A94" s="1"/>
      <c r="B94" s="25" t="s">
        <v>83</v>
      </c>
      <c r="C94" s="23" t="str">
        <f>C88</f>
        <v>n/m</v>
      </c>
      <c r="D94" s="23" t="str">
        <f>D88</f>
        <v>n/m</v>
      </c>
      <c r="E94" s="23" t="str">
        <f>E88</f>
        <v>n/m</v>
      </c>
      <c r="F94" s="23" t="str">
        <f>F88</f>
        <v>n/m</v>
      </c>
      <c r="G94" s="23" t="str">
        <f>G88</f>
        <v>n/m</v>
      </c>
      <c r="H94" s="50">
        <f>H88</f>
        <v>1.7070314876787358</v>
      </c>
      <c r="I94" s="2"/>
    </row>
    <row r="95">
      <c r="A95" s="1"/>
      <c r="B95" s="14" t="s">
        <v>174</v>
      </c>
      <c r="C95" s="47">
        <v>26.296</v>
      </c>
      <c r="D95" s="47">
        <v>84.992</v>
      </c>
      <c r="E95" s="47">
        <v>71.008</v>
      </c>
      <c r="F95" s="37">
        <f>G156-E156</f>
        <v>203.00799999999998</v>
      </c>
      <c r="G95" s="37">
        <f>SUM(C95:F95)</f>
        <v>385.304</v>
      </c>
      <c r="H95" s="56">
        <f>H78+H86</f>
        <v>147.30189347826087</v>
      </c>
      <c r="I95" s="2" t="s">
        <v>175</v>
      </c>
    </row>
    <row r="96">
      <c r="A96" s="1"/>
      <c r="B96" s="1" t="s">
        <v>74</v>
      </c>
      <c r="C96" s="8">
        <v>0</v>
      </c>
      <c r="D96" s="8">
        <v>0</v>
      </c>
      <c r="E96" s="8">
        <v>0</v>
      </c>
      <c r="F96" s="8">
        <v>0</v>
      </c>
      <c r="G96" s="3">
        <f>SUM(C96:F96)</f>
        <v>0</v>
      </c>
      <c r="H96" s="44">
        <f>C95</f>
        <v>26.296</v>
      </c>
      <c r="I96" s="2" t="s">
        <v>176</v>
      </c>
    </row>
    <row r="97">
      <c r="A97" s="1"/>
      <c r="B97" s="25" t="s">
        <v>75</v>
      </c>
      <c r="C97" s="23" t="str">
        <f>IF(C96=0,"n/m",C95/C96-1)</f>
        <v>n/m</v>
      </c>
      <c r="D97" s="23" t="str">
        <f>IF(D96=0,"n/m",D95/D96-1)</f>
        <v>n/m</v>
      </c>
      <c r="E97" s="23" t="str">
        <f>IF(E96=0,"n/m",E95/E96-1)</f>
        <v>n/m</v>
      </c>
      <c r="F97" s="23" t="str">
        <f>IF(F96=0,"n/m",F95/F96-1)</f>
        <v>n/m</v>
      </c>
      <c r="G97" s="23" t="str">
        <f>IF(G96=0,"n/m",G95/G96-1)</f>
        <v>n/m</v>
      </c>
      <c r="H97" s="50">
        <f>IF(H96=0,"n/m",H95/H96-1)</f>
        <v>4.601684418856894</v>
      </c>
      <c r="I97" s="2"/>
    </row>
    <row r="98">
      <c r="A98" s="1"/>
      <c r="B98" s="25" t="s">
        <v>76</v>
      </c>
      <c r="C98" s="23" t="str">
        <f>IF(F96=0,"n/m",C95/F96-1)</f>
        <v>n/m</v>
      </c>
      <c r="D98" s="23">
        <f>IFERROR(IF(C95=0,"n/m",D95/C95-1),"n/a")</f>
        <v>2.232126559172498</v>
      </c>
      <c r="E98" s="23">
        <f>IFERROR(IF(D95=0,"n/m",E95/D95-1),"n/a")</f>
        <v>-0.16453313253012058</v>
      </c>
      <c r="F98" s="23">
        <f>IFERROR(IF(E95=0,"n/m",F95/E95-1),"n/a")</f>
        <v>1.8589454709328526</v>
      </c>
      <c r="G98" s="23" t="s">
        <v>40</v>
      </c>
      <c r="H98" s="50">
        <f>IFERROR(IF(F95=0,"n/m",H95/F95-1),"n/a")</f>
        <v>-0.2744035039098909</v>
      </c>
      <c r="I98" s="2"/>
    </row>
    <row r="99">
      <c r="A99" s="1"/>
      <c r="B99" s="1" t="s">
        <v>93</v>
      </c>
      <c r="C99" s="3">
        <f>IFERROR(C95-F96,"n/a")</f>
        <v>26.296</v>
      </c>
      <c r="D99" s="3">
        <f>IFERROR(D95-C95,"n/a")</f>
        <v>58.696000000000005</v>
      </c>
      <c r="E99" s="3">
        <f>IFERROR(E95-D95,"n/a")</f>
        <v>-13.984000000000009</v>
      </c>
      <c r="F99" s="3">
        <f>IFERROR(F95-E95,"n/a")</f>
        <v>132</v>
      </c>
      <c r="G99" s="3" t="s">
        <v>40</v>
      </c>
      <c r="H99" s="44">
        <f>IFERROR(H95-F95,"n/a")</f>
        <v>-55.706106521739116</v>
      </c>
      <c r="I99" s="2"/>
    </row>
    <row r="100">
      <c r="A100" s="1"/>
      <c r="B100" s="25" t="s">
        <v>78</v>
      </c>
      <c r="C100" s="45">
        <v>0</v>
      </c>
      <c r="D100" s="45">
        <v>0</v>
      </c>
      <c r="E100" s="45">
        <v>0</v>
      </c>
      <c r="F100" s="45">
        <v>0</v>
      </c>
      <c r="G100" s="45">
        <v>0</v>
      </c>
      <c r="H100" s="46">
        <v>0</v>
      </c>
      <c r="I100" s="2" t="s">
        <v>79</v>
      </c>
    </row>
    <row r="101">
      <c r="A101" s="1"/>
      <c r="B101" s="25" t="s">
        <v>80</v>
      </c>
      <c r="C101" s="45">
        <v>0</v>
      </c>
      <c r="D101" s="45">
        <v>0</v>
      </c>
      <c r="E101" s="45">
        <v>0</v>
      </c>
      <c r="F101" s="45">
        <v>0</v>
      </c>
      <c r="G101" s="45">
        <v>0</v>
      </c>
      <c r="H101" s="46">
        <v>0</v>
      </c>
      <c r="I101" s="2" t="s">
        <v>81</v>
      </c>
    </row>
    <row r="102">
      <c r="A102" s="1"/>
      <c r="B102" s="25" t="s">
        <v>82</v>
      </c>
      <c r="C102" s="23" t="str">
        <f>IFERROR((1+C97)/((1+C100)*(1+C101))-1,"n/m")</f>
        <v>n/m</v>
      </c>
      <c r="D102" s="23" t="str">
        <f>IFERROR((1+D97)/((1+D100)*(1+D101))-1,"n/m")</f>
        <v>n/m</v>
      </c>
      <c r="E102" s="23" t="str">
        <f>IFERROR((1+E97)/((1+E100)*(1+E101))-1,"n/m")</f>
        <v>n/m</v>
      </c>
      <c r="F102" s="23" t="str">
        <f>IFERROR((1+F97)/((1+F100)*(1+F101))-1,"n/m")</f>
        <v>n/m</v>
      </c>
      <c r="G102" s="23" t="str">
        <f>IFERROR((1+G97)/((1+G100)*(1+G101))-1,"n/m")</f>
        <v>n/m</v>
      </c>
      <c r="H102" s="50">
        <f>IFERROR((1+H97)/((1+H100)*(1+H101))-1,"n/m")</f>
        <v>4.601684418856894</v>
      </c>
      <c r="I102" s="2"/>
    </row>
    <row r="103">
      <c r="A103" s="1"/>
      <c r="B103" s="25" t="s">
        <v>83</v>
      </c>
      <c r="C103" s="23" t="str">
        <f>C97</f>
        <v>n/m</v>
      </c>
      <c r="D103" s="23" t="str">
        <f>D97</f>
        <v>n/m</v>
      </c>
      <c r="E103" s="23" t="str">
        <f>E97</f>
        <v>n/m</v>
      </c>
      <c r="F103" s="23" t="str">
        <f>F97</f>
        <v>n/m</v>
      </c>
      <c r="G103" s="23" t="str">
        <f>G97</f>
        <v>n/m</v>
      </c>
      <c r="H103" s="50">
        <f>H97</f>
        <v>4.601684418856894</v>
      </c>
      <c r="I103" s="2"/>
    </row>
    <row r="104">
      <c r="A104" s="1"/>
      <c r="B104" s="1" t="s">
        <v>177</v>
      </c>
      <c r="C104" s="8">
        <v>26</v>
      </c>
      <c r="D104" s="8">
        <v>73</v>
      </c>
      <c r="E104" s="8">
        <v>18.9</v>
      </c>
      <c r="F104" s="8">
        <v>152.4</v>
      </c>
      <c r="G104" s="8">
        <v>270.602</v>
      </c>
      <c r="H104" s="44"/>
      <c r="I104" s="2" t="s">
        <v>178</v>
      </c>
    </row>
    <row r="105">
      <c r="A105" s="1"/>
      <c r="B105" s="1" t="s">
        <v>179</v>
      </c>
      <c r="C105" s="3">
        <f>C86-C104</f>
        <v>0.2959999999999994</v>
      </c>
      <c r="D105" s="3">
        <f>D86-D104</f>
        <v>-0.007999999999995566</v>
      </c>
      <c r="E105" s="3">
        <f>E86-E104</f>
        <v>-0.09200000000000585</v>
      </c>
      <c r="F105" s="3">
        <f>F86-F104</f>
        <v>0.04599999999996385</v>
      </c>
      <c r="G105" s="3">
        <f>G86-G104</f>
        <v>-0.060000000000002274</v>
      </c>
      <c r="H105" s="44"/>
      <c r="I105" s="2"/>
    </row>
    <row r="106">
      <c r="A106" s="1"/>
      <c r="B106" s="1" t="s">
        <v>180</v>
      </c>
      <c r="C106" s="3"/>
      <c r="D106" s="3"/>
      <c r="E106" s="3"/>
      <c r="F106" s="3"/>
      <c r="G106" s="8">
        <v>99.811</v>
      </c>
      <c r="H106" s="44"/>
      <c r="I106" s="2" t="s">
        <v>181</v>
      </c>
    </row>
    <row r="107">
      <c r="A107" s="1"/>
      <c r="B107" s="1" t="s">
        <v>182</v>
      </c>
      <c r="C107" s="3"/>
      <c r="D107" s="3"/>
      <c r="E107" s="3"/>
      <c r="F107" s="3"/>
      <c r="G107" s="3">
        <f>G61-G106</f>
        <v>0.3509999999999991</v>
      </c>
      <c r="H107" s="44"/>
      <c r="I107" s="2"/>
    </row>
    <row r="108">
      <c r="A108" s="1"/>
      <c r="B108" s="1"/>
      <c r="C108" s="7"/>
      <c r="D108" s="7"/>
      <c r="E108" s="7"/>
      <c r="F108" s="7"/>
      <c r="G108" s="7"/>
      <c r="H108" s="42"/>
      <c r="I108" s="2"/>
    </row>
    <row r="109">
      <c r="A109" s="1"/>
      <c r="B109" s="14" t="s">
        <v>183</v>
      </c>
      <c r="C109" s="35"/>
      <c r="D109" s="35"/>
      <c r="E109" s="35"/>
      <c r="F109" s="35"/>
      <c r="G109" s="35"/>
      <c r="H109" s="36"/>
      <c r="I109" s="2"/>
    </row>
    <row r="110">
      <c r="A110" s="1"/>
      <c r="B110" s="1" t="s">
        <v>184</v>
      </c>
      <c r="C110" s="43"/>
      <c r="D110" s="43"/>
      <c r="E110" s="43"/>
      <c r="F110" s="43"/>
      <c r="G110" s="43"/>
      <c r="H110" s="55">
        <f>(C86+D86)/D12</f>
        <v>0.9928800000000001</v>
      </c>
      <c r="I110" s="2" t="s">
        <v>185</v>
      </c>
    </row>
    <row r="111">
      <c r="A111" s="1"/>
      <c r="B111" s="1" t="s">
        <v>186</v>
      </c>
      <c r="C111" s="3"/>
      <c r="D111" s="3"/>
      <c r="E111" s="3"/>
      <c r="F111" s="3"/>
      <c r="G111" s="3"/>
      <c r="H111" s="61">
        <v>150</v>
      </c>
      <c r="I111" s="2" t="s">
        <v>187</v>
      </c>
    </row>
    <row r="112">
      <c r="A112" s="1"/>
      <c r="B112" s="1" t="s">
        <v>188</v>
      </c>
      <c r="C112" s="43"/>
      <c r="D112" s="43"/>
      <c r="E112" s="43"/>
      <c r="F112" s="43"/>
      <c r="G112" s="43"/>
      <c r="H112" s="70">
        <v>1.7</v>
      </c>
      <c r="I112" s="2" t="s">
        <v>189</v>
      </c>
    </row>
    <row r="113">
      <c r="A113" s="1"/>
      <c r="B113" s="1" t="s">
        <v>190</v>
      </c>
      <c r="C113" s="3"/>
      <c r="D113" s="3"/>
      <c r="E113" s="3"/>
      <c r="F113" s="3"/>
      <c r="G113" s="3"/>
      <c r="H113" s="44">
        <f>H111*H112</f>
        <v>255</v>
      </c>
      <c r="I113" s="2"/>
    </row>
    <row r="114">
      <c r="A114" s="1"/>
      <c r="B114" s="1" t="s">
        <v>191</v>
      </c>
      <c r="C114" s="3"/>
      <c r="D114" s="3"/>
      <c r="E114" s="3"/>
      <c r="F114" s="3"/>
      <c r="G114" s="3"/>
      <c r="H114" s="44">
        <f>E86+F86</f>
        <v>171.25399999999996</v>
      </c>
      <c r="I114" s="2"/>
    </row>
    <row r="115">
      <c r="A115" s="1"/>
      <c r="B115" s="1" t="s">
        <v>192</v>
      </c>
      <c r="C115" s="3"/>
      <c r="D115" s="3"/>
      <c r="E115" s="3"/>
      <c r="F115" s="3"/>
      <c r="G115" s="3"/>
      <c r="H115" s="44">
        <f>MAX(0,H113-H114)</f>
        <v>83.74600000000004</v>
      </c>
      <c r="I115" s="2"/>
    </row>
    <row r="116">
      <c r="A116" s="1"/>
      <c r="B116" s="25" t="s">
        <v>193</v>
      </c>
      <c r="C116" s="23"/>
      <c r="D116" s="23"/>
      <c r="E116" s="23"/>
      <c r="F116" s="23"/>
      <c r="G116" s="23"/>
      <c r="H116" s="46">
        <v>0.85</v>
      </c>
      <c r="I116" s="2" t="s">
        <v>194</v>
      </c>
    </row>
    <row r="117">
      <c r="A117" s="1"/>
      <c r="B117" s="14" t="s">
        <v>195</v>
      </c>
      <c r="C117" s="37"/>
      <c r="D117" s="37"/>
      <c r="E117" s="37"/>
      <c r="F117" s="37"/>
      <c r="G117" s="37"/>
      <c r="H117" s="56">
        <f>H115*H116</f>
        <v>71.18410000000003</v>
      </c>
      <c r="I117" s="2"/>
    </row>
    <row r="118">
      <c r="A118" s="1"/>
      <c r="B118" s="1"/>
      <c r="C118" s="7"/>
      <c r="D118" s="7"/>
      <c r="E118" s="7"/>
      <c r="F118" s="7"/>
      <c r="G118" s="7"/>
      <c r="H118" s="42"/>
      <c r="I118" s="2"/>
    </row>
    <row r="119">
      <c r="A119" s="1"/>
      <c r="B119" s="14" t="s">
        <v>196</v>
      </c>
      <c r="C119" s="35"/>
      <c r="D119" s="35"/>
      <c r="E119" s="35"/>
      <c r="F119" s="35"/>
      <c r="G119" s="35"/>
      <c r="H119" s="36"/>
      <c r="I119" s="2"/>
    </row>
    <row r="120">
      <c r="A120" s="1"/>
      <c r="B120" s="1" t="s">
        <v>197</v>
      </c>
      <c r="C120" s="3" t="s">
        <v>40</v>
      </c>
      <c r="D120" s="3" t="s">
        <v>40</v>
      </c>
      <c r="E120" s="3" t="s">
        <v>40</v>
      </c>
      <c r="F120" s="8">
        <v>145.6</v>
      </c>
      <c r="G120" s="8">
        <v>258.147</v>
      </c>
      <c r="H120" s="44">
        <f>H86*(1-H121)</f>
        <v>67.9227693396959</v>
      </c>
      <c r="I120" s="2" t="s">
        <v>198</v>
      </c>
    </row>
    <row r="121">
      <c r="A121" s="1"/>
      <c r="B121" s="25" t="s">
        <v>199</v>
      </c>
      <c r="C121" s="23" t="s">
        <v>40</v>
      </c>
      <c r="D121" s="23" t="s">
        <v>40</v>
      </c>
      <c r="E121" s="23" t="s">
        <v>40</v>
      </c>
      <c r="F121" s="23">
        <f>1-F120/F86</f>
        <v>0.04490770502341801</v>
      </c>
      <c r="G121" s="23">
        <f>1-G120/G86</f>
        <v>0.04581543715947978</v>
      </c>
      <c r="H121" s="50">
        <f>G121</f>
        <v>0.04581543715947978</v>
      </c>
      <c r="I121" s="2" t="s">
        <v>200</v>
      </c>
    </row>
    <row r="122">
      <c r="A122" s="1"/>
      <c r="B122" s="1" t="s">
        <v>144</v>
      </c>
      <c r="C122" s="41" t="s">
        <v>40</v>
      </c>
      <c r="D122" s="41" t="str">
        <f>IFERROR((D121-C121)*10000,"n/a")</f>
        <v>n/a</v>
      </c>
      <c r="E122" s="41" t="str">
        <f>IFERROR((E121-D121)*10000,"n/a")</f>
        <v>n/a</v>
      </c>
      <c r="F122" s="41" t="str">
        <f>IFERROR((F121-E121)*10000,"n/a")</f>
        <v>n/a</v>
      </c>
      <c r="G122" s="41" t="s">
        <v>40</v>
      </c>
      <c r="H122" s="51">
        <f>IFERROR((H121-F121)*10000,"n/a")</f>
        <v>9.077321360617674</v>
      </c>
      <c r="I122" s="2"/>
    </row>
    <row r="123">
      <c r="A123" s="1"/>
      <c r="B123" s="1" t="s">
        <v>145</v>
      </c>
      <c r="C123" s="41" t="s">
        <v>40</v>
      </c>
      <c r="D123" s="41" t="s">
        <v>40</v>
      </c>
      <c r="E123" s="41" t="s">
        <v>40</v>
      </c>
      <c r="F123" s="41" t="s">
        <v>40</v>
      </c>
      <c r="G123" s="41" t="s">
        <v>40</v>
      </c>
      <c r="H123" s="51" t="str">
        <f>IFERROR((H121-C121)*10000,"n/a")</f>
        <v>n/a</v>
      </c>
      <c r="I123" s="2"/>
    </row>
    <row r="124">
      <c r="A124" s="1"/>
      <c r="B124" s="1" t="s">
        <v>201</v>
      </c>
      <c r="C124" s="3" t="s">
        <v>40</v>
      </c>
      <c r="D124" s="3" t="s">
        <v>40</v>
      </c>
      <c r="E124" s="3" t="s">
        <v>40</v>
      </c>
      <c r="F124" s="8">
        <v>6.4</v>
      </c>
      <c r="G124" s="8">
        <v>14.9</v>
      </c>
      <c r="H124" s="44">
        <f>H70*F124/F70</f>
        <v>9.634782608695652</v>
      </c>
      <c r="I124" s="2" t="s">
        <v>202</v>
      </c>
    </row>
    <row r="125">
      <c r="A125" s="1"/>
      <c r="B125" s="1" t="s">
        <v>203</v>
      </c>
      <c r="C125" s="3" t="s">
        <v>40</v>
      </c>
      <c r="D125" s="3" t="s">
        <v>40</v>
      </c>
      <c r="E125" s="3" t="s">
        <v>40</v>
      </c>
      <c r="F125" s="8">
        <v>14.1</v>
      </c>
      <c r="G125" s="8">
        <v>32.2</v>
      </c>
      <c r="H125" s="44">
        <f>H22*F125/F22</f>
        <v>21.22663043478261</v>
      </c>
      <c r="I125" s="2" t="s">
        <v>204</v>
      </c>
    </row>
    <row r="126">
      <c r="A126" s="1"/>
      <c r="B126" s="1" t="s">
        <v>205</v>
      </c>
      <c r="C126" s="3" t="s">
        <v>40</v>
      </c>
      <c r="D126" s="3" t="s">
        <v>40</v>
      </c>
      <c r="E126" s="3" t="s">
        <v>40</v>
      </c>
      <c r="F126" s="8">
        <v>4.5</v>
      </c>
      <c r="G126" s="3">
        <f>G144+G145+G146</f>
        <v>9.423</v>
      </c>
      <c r="H126" s="44">
        <f>H22*F126/F22</f>
        <v>6.77445652173913</v>
      </c>
      <c r="I126" s="2" t="s">
        <v>206</v>
      </c>
    </row>
    <row r="127">
      <c r="A127" s="1"/>
      <c r="B127" s="1" t="s">
        <v>207</v>
      </c>
      <c r="C127" s="3" t="s">
        <v>40</v>
      </c>
      <c r="D127" s="3" t="s">
        <v>40</v>
      </c>
      <c r="E127" s="3" t="s">
        <v>40</v>
      </c>
      <c r="F127" s="3">
        <f>F128-F124-F125-F126</f>
        <v>0.11000000000000121</v>
      </c>
      <c r="G127" s="3">
        <f>G128-G124-G125-G126</f>
        <v>0.2500000000000018</v>
      </c>
      <c r="H127" s="61">
        <v>0</v>
      </c>
      <c r="I127" s="2" t="s">
        <v>208</v>
      </c>
    </row>
    <row r="128">
      <c r="A128" s="1"/>
      <c r="B128" s="14" t="s">
        <v>209</v>
      </c>
      <c r="C128" s="37" t="s">
        <v>40</v>
      </c>
      <c r="D128" s="37" t="s">
        <v>40</v>
      </c>
      <c r="E128" s="37" t="s">
        <v>40</v>
      </c>
      <c r="F128" s="47">
        <v>25.11</v>
      </c>
      <c r="G128" s="47">
        <v>56.773</v>
      </c>
      <c r="H128" s="56">
        <f>H124+H125+H126+H127</f>
        <v>37.63586956521739</v>
      </c>
      <c r="I128" s="2" t="s">
        <v>210</v>
      </c>
    </row>
    <row r="129">
      <c r="A129" s="1"/>
      <c r="B129" s="14" t="s">
        <v>211</v>
      </c>
      <c r="C129" s="47">
        <v>25.184</v>
      </c>
      <c r="D129" s="47">
        <v>75.447</v>
      </c>
      <c r="E129" s="47">
        <v>43.558</v>
      </c>
      <c r="F129" s="37">
        <f>G157-E157</f>
        <v>170.73100000000002</v>
      </c>
      <c r="G129" s="37">
        <f>SUM(C129:F129)</f>
        <v>314.92</v>
      </c>
      <c r="H129" s="56">
        <f>H120+H128</f>
        <v>105.5586389049133</v>
      </c>
      <c r="I129" s="2" t="s">
        <v>212</v>
      </c>
    </row>
    <row r="130">
      <c r="A130" s="1"/>
      <c r="B130" s="25" t="s">
        <v>213</v>
      </c>
      <c r="C130" s="23">
        <f>IFERROR(1-C129/C95,"n/a")</f>
        <v>0.042287800425920175</v>
      </c>
      <c r="D130" s="23">
        <f>IFERROR(1-D129/D95,"n/a")</f>
        <v>0.1123046875</v>
      </c>
      <c r="E130" s="23">
        <f>IFERROR(1-E129/E95,"n/a")</f>
        <v>0.3865761604326273</v>
      </c>
      <c r="F130" s="23">
        <f>IFERROR(1-F129/F95,"n/a")</f>
        <v>0.1589937342370742</v>
      </c>
      <c r="G130" s="23">
        <f>IFERROR(1-G129/G95,"n/a")</f>
        <v>0.1826713452235117</v>
      </c>
      <c r="H130" s="50">
        <f>IFERROR(1-H129/H95,"n/a")</f>
        <v>0.283385729725926</v>
      </c>
      <c r="I130" s="2"/>
    </row>
    <row r="131">
      <c r="A131" s="1"/>
      <c r="B131" s="1" t="s">
        <v>144</v>
      </c>
      <c r="C131" s="41" t="s">
        <v>40</v>
      </c>
      <c r="D131" s="41">
        <f>IFERROR((D130-C130)*10000,"n/a")</f>
        <v>700.1688707407983</v>
      </c>
      <c r="E131" s="41">
        <f>IFERROR((E130-D130)*10000,"n/a")</f>
        <v>2742.7147293262733</v>
      </c>
      <c r="F131" s="41">
        <f>IFERROR((F130-E130)*10000,"n/a")</f>
        <v>-2275.8242619555313</v>
      </c>
      <c r="G131" s="41" t="s">
        <v>40</v>
      </c>
      <c r="H131" s="51">
        <f>IFERROR((H130-F130)*10000,"n/a")</f>
        <v>1243.9199548885183</v>
      </c>
      <c r="I131" s="2"/>
    </row>
    <row r="132">
      <c r="A132" s="1"/>
      <c r="B132" s="1" t="s">
        <v>145</v>
      </c>
      <c r="C132" s="41" t="s">
        <v>40</v>
      </c>
      <c r="D132" s="41" t="s">
        <v>40</v>
      </c>
      <c r="E132" s="41" t="s">
        <v>40</v>
      </c>
      <c r="F132" s="41" t="s">
        <v>40</v>
      </c>
      <c r="G132" s="41" t="s">
        <v>40</v>
      </c>
      <c r="H132" s="51">
        <f>IFERROR((H130-C130)*10000,"n/a")</f>
        <v>2410.9792930000585</v>
      </c>
      <c r="I132" s="2"/>
    </row>
    <row r="133">
      <c r="A133" s="1"/>
      <c r="B133" s="1" t="s">
        <v>214</v>
      </c>
      <c r="C133" s="8">
        <v>1.894</v>
      </c>
      <c r="D133" s="8">
        <v>12.141</v>
      </c>
      <c r="E133" s="8">
        <v>9.885</v>
      </c>
      <c r="F133" s="3">
        <f>G158-E158</f>
        <v>6.096</v>
      </c>
      <c r="G133" s="3">
        <f>SUM(C133:F133)</f>
        <v>30.016</v>
      </c>
      <c r="H133" s="44">
        <f>AVERAGE(E133:F133)</f>
        <v>7.9905</v>
      </c>
      <c r="I133" s="2" t="s">
        <v>215</v>
      </c>
    </row>
    <row r="134">
      <c r="A134" s="1"/>
      <c r="B134" s="1" t="s">
        <v>93</v>
      </c>
      <c r="C134" s="3" t="s">
        <v>40</v>
      </c>
      <c r="D134" s="3">
        <f>IFERROR(D133-C133,"n/a")</f>
        <v>10.247</v>
      </c>
      <c r="E134" s="3">
        <f>IFERROR(E133-D133,"n/a")</f>
        <v>-2.2560000000000002</v>
      </c>
      <c r="F134" s="3">
        <f>IFERROR(F133-E133,"n/a")</f>
        <v>-3.7889999999999997</v>
      </c>
      <c r="G134" s="3" t="s">
        <v>40</v>
      </c>
      <c r="H134" s="44">
        <f>IFERROR(H133-F133,"n/a")</f>
        <v>1.8944999999999999</v>
      </c>
      <c r="I134" s="2"/>
    </row>
    <row r="135">
      <c r="A135" s="1"/>
      <c r="B135" s="1" t="s">
        <v>94</v>
      </c>
      <c r="C135" s="3" t="s">
        <v>40</v>
      </c>
      <c r="D135" s="3" t="s">
        <v>40</v>
      </c>
      <c r="E135" s="3" t="s">
        <v>40</v>
      </c>
      <c r="F135" s="3" t="s">
        <v>40</v>
      </c>
      <c r="G135" s="3" t="s">
        <v>40</v>
      </c>
      <c r="H135" s="44">
        <f>IFERROR(H133-C133,"n/a")</f>
        <v>6.0965</v>
      </c>
      <c r="I135" s="2"/>
    </row>
    <row r="136">
      <c r="A136" s="1"/>
      <c r="B136" s="1" t="s">
        <v>216</v>
      </c>
      <c r="C136" s="8">
        <v>1.24</v>
      </c>
      <c r="D136" s="8">
        <v>0</v>
      </c>
      <c r="E136" s="8">
        <v>0</v>
      </c>
      <c r="F136" s="3">
        <f>G159-E159</f>
        <v>0</v>
      </c>
      <c r="G136" s="3">
        <f>SUM(C136:F136)</f>
        <v>1.24</v>
      </c>
      <c r="H136" s="61">
        <v>0</v>
      </c>
      <c r="I136" s="2"/>
    </row>
    <row r="137">
      <c r="A137" s="1"/>
      <c r="B137" s="14" t="s">
        <v>217</v>
      </c>
      <c r="C137" s="37">
        <f>C95-C129-C133-C136</f>
        <v>-2.0220000000000016</v>
      </c>
      <c r="D137" s="37">
        <f>D95-D129-D133-D136</f>
        <v>-2.5959999999999983</v>
      </c>
      <c r="E137" s="37">
        <f>E95-E129-E133-E136</f>
        <v>17.564999999999998</v>
      </c>
      <c r="F137" s="37">
        <f>F95-F129-F133-F136</f>
        <v>26.18099999999996</v>
      </c>
      <c r="G137" s="37">
        <f>G95-G129-G133-G136</f>
        <v>39.12799999999996</v>
      </c>
      <c r="H137" s="56">
        <f>H95-H129-H133-H136</f>
        <v>33.75275457334757</v>
      </c>
      <c r="I137" s="2"/>
    </row>
    <row r="138">
      <c r="A138" s="1"/>
      <c r="B138" s="25" t="s">
        <v>218</v>
      </c>
      <c r="C138" s="23">
        <f>IFERROR(C137/C95,"n/a")</f>
        <v>-0.07689382415576519</v>
      </c>
      <c r="D138" s="23">
        <f>IFERROR(D137/D95,"n/a")</f>
        <v>-0.030544051204819254</v>
      </c>
      <c r="E138" s="23">
        <f>IFERROR(E137/E95,"n/a")</f>
        <v>0.24736649391617843</v>
      </c>
      <c r="F138" s="23">
        <f>IFERROR(F137/F95,"n/a")</f>
        <v>0.12896536097099603</v>
      </c>
      <c r="G138" s="23">
        <f>IFERROR(G137/G95,"n/a")</f>
        <v>0.10155098311982216</v>
      </c>
      <c r="H138" s="50">
        <f>IFERROR(H137/H95,"n/a")</f>
        <v>0.22913999118639217</v>
      </c>
      <c r="I138" s="2"/>
    </row>
    <row r="139">
      <c r="A139" s="1"/>
      <c r="B139" s="1" t="s">
        <v>144</v>
      </c>
      <c r="C139" s="41" t="s">
        <v>40</v>
      </c>
      <c r="D139" s="41">
        <f>IFERROR((D138-C138)*10000,"n/a")</f>
        <v>463.49772950945936</v>
      </c>
      <c r="E139" s="41">
        <f>IFERROR((E138-D138)*10000,"n/a")</f>
        <v>2779.1054512099768</v>
      </c>
      <c r="F139" s="41">
        <f>IFERROR((F138-E138)*10000,"n/a")</f>
        <v>-1184.011329451824</v>
      </c>
      <c r="G139" s="41" t="s">
        <v>40</v>
      </c>
      <c r="H139" s="51">
        <f>IFERROR((H138-F138)*10000,"n/a")</f>
        <v>1001.7463021539613</v>
      </c>
      <c r="I139" s="2"/>
    </row>
    <row r="140">
      <c r="A140" s="1"/>
      <c r="B140" s="1" t="s">
        <v>145</v>
      </c>
      <c r="C140" s="41" t="s">
        <v>40</v>
      </c>
      <c r="D140" s="41" t="s">
        <v>40</v>
      </c>
      <c r="E140" s="41" t="s">
        <v>40</v>
      </c>
      <c r="F140" s="41" t="s">
        <v>40</v>
      </c>
      <c r="G140" s="41" t="s">
        <v>40</v>
      </c>
      <c r="H140" s="51">
        <f>IFERROR((H138-C138)*10000,"n/a")</f>
        <v>3060.338153421573</v>
      </c>
      <c r="I140" s="2"/>
    </row>
    <row r="141">
      <c r="A141" s="1"/>
      <c r="B141" s="1" t="s">
        <v>93</v>
      </c>
      <c r="C141" s="3" t="s">
        <v>40</v>
      </c>
      <c r="D141" s="3">
        <f>IFERROR(D137-C137,"n/a")</f>
        <v>-0.5739999999999967</v>
      </c>
      <c r="E141" s="3">
        <f>IFERROR(E137-D137,"n/a")</f>
        <v>20.160999999999994</v>
      </c>
      <c r="F141" s="3">
        <f>IFERROR(F137-E137,"n/a")</f>
        <v>8.61599999999996</v>
      </c>
      <c r="G141" s="3" t="s">
        <v>40</v>
      </c>
      <c r="H141" s="44">
        <f>IFERROR(H137-F137,"n/a")</f>
        <v>7.571754573347615</v>
      </c>
      <c r="I141" s="2"/>
    </row>
    <row r="142">
      <c r="A142" s="1"/>
      <c r="B142" s="1" t="s">
        <v>219</v>
      </c>
      <c r="C142" s="8">
        <v>-2.022</v>
      </c>
      <c r="D142" s="8">
        <v>-2.596</v>
      </c>
      <c r="E142" s="8">
        <v>17.565</v>
      </c>
      <c r="F142" s="3">
        <f>G160-E160</f>
        <v>26.181000000000004</v>
      </c>
      <c r="G142" s="3">
        <f>G160</f>
        <v>39.127</v>
      </c>
      <c r="H142" s="44"/>
      <c r="I142" s="2" t="s">
        <v>220</v>
      </c>
    </row>
    <row r="143">
      <c r="A143" s="1"/>
      <c r="B143" s="1" t="s">
        <v>221</v>
      </c>
      <c r="C143" s="3">
        <f>C137-C142</f>
        <v>0</v>
      </c>
      <c r="D143" s="3">
        <f>D137-D142</f>
        <v>0</v>
      </c>
      <c r="E143" s="3">
        <f>E137-E142</f>
        <v>0</v>
      </c>
      <c r="F143" s="3">
        <f>F137-F142</f>
        <v>0</v>
      </c>
      <c r="G143" s="3">
        <f>G137-G142</f>
        <v>0.0009999999999550369</v>
      </c>
      <c r="H143" s="44"/>
      <c r="I143" s="2"/>
    </row>
    <row r="144">
      <c r="A144" s="1"/>
      <c r="B144" s="1" t="s">
        <v>222</v>
      </c>
      <c r="C144" s="3" t="s">
        <v>40</v>
      </c>
      <c r="D144" s="3" t="s">
        <v>40</v>
      </c>
      <c r="E144" s="3" t="s">
        <v>40</v>
      </c>
      <c r="F144" s="8">
        <v>3.382</v>
      </c>
      <c r="G144" s="8">
        <v>8.545</v>
      </c>
      <c r="H144" s="44">
        <f>H22*F144/F22</f>
        <v>5.091380434782609</v>
      </c>
      <c r="I144" s="2" t="s">
        <v>223</v>
      </c>
    </row>
    <row r="145">
      <c r="A145" s="1"/>
      <c r="B145" s="1" t="s">
        <v>224</v>
      </c>
      <c r="C145" s="3" t="s">
        <v>40</v>
      </c>
      <c r="D145" s="3" t="s">
        <v>40</v>
      </c>
      <c r="E145" s="3" t="s">
        <v>40</v>
      </c>
      <c r="F145" s="8">
        <v>0.198</v>
      </c>
      <c r="G145" s="8">
        <v>0.198</v>
      </c>
      <c r="H145" s="44">
        <f>H22*F145/F22</f>
        <v>0.29807608695652177</v>
      </c>
      <c r="I145" s="2" t="s">
        <v>225</v>
      </c>
    </row>
    <row r="146">
      <c r="A146" s="1"/>
      <c r="B146" s="1" t="s">
        <v>226</v>
      </c>
      <c r="C146" s="3" t="s">
        <v>40</v>
      </c>
      <c r="D146" s="3" t="s">
        <v>40</v>
      </c>
      <c r="E146" s="3" t="s">
        <v>40</v>
      </c>
      <c r="F146" s="8">
        <v>0.571</v>
      </c>
      <c r="G146" s="8">
        <v>0.68</v>
      </c>
      <c r="H146" s="44">
        <f>H22*F146/F22</f>
        <v>0.8596032608695652</v>
      </c>
      <c r="I146" s="2" t="s">
        <v>225</v>
      </c>
    </row>
    <row r="147">
      <c r="A147" s="1"/>
      <c r="B147" s="14" t="s">
        <v>227</v>
      </c>
      <c r="C147" s="37" t="s">
        <v>40</v>
      </c>
      <c r="D147" s="37" t="s">
        <v>40</v>
      </c>
      <c r="E147" s="37" t="s">
        <v>40</v>
      </c>
      <c r="F147" s="37">
        <f>F61-F144-F145-F146</f>
        <v>39.911</v>
      </c>
      <c r="G147" s="37">
        <f>G61-G144-G145-G146</f>
        <v>90.739</v>
      </c>
      <c r="H147" s="56">
        <f>H61-H144-H145-H146</f>
        <v>60.083407608695644</v>
      </c>
      <c r="I147" s="2" t="s">
        <v>228</v>
      </c>
    </row>
    <row r="148">
      <c r="A148" s="1"/>
      <c r="B148" s="25" t="s">
        <v>229</v>
      </c>
      <c r="C148" s="23" t="s">
        <v>40</v>
      </c>
      <c r="D148" s="23" t="s">
        <v>40</v>
      </c>
      <c r="E148" s="23" t="s">
        <v>40</v>
      </c>
      <c r="F148" s="23">
        <f>F147/F61</f>
        <v>0.9057918387726386</v>
      </c>
      <c r="G148" s="23">
        <f>G147/G61</f>
        <v>0.9059224057027615</v>
      </c>
      <c r="H148" s="50">
        <f>H147/H61</f>
        <v>0.9057918387726386</v>
      </c>
      <c r="I148" s="2"/>
    </row>
    <row r="149">
      <c r="A149" s="1"/>
      <c r="B149" s="1" t="s">
        <v>144</v>
      </c>
      <c r="C149" s="41" t="s">
        <v>40</v>
      </c>
      <c r="D149" s="41" t="str">
        <f>IFERROR((D148-C148)*10000,"n/a")</f>
        <v>n/a</v>
      </c>
      <c r="E149" s="41" t="str">
        <f>IFERROR((E148-D148)*10000,"n/a")</f>
        <v>n/a</v>
      </c>
      <c r="F149" s="41" t="str">
        <f>IFERROR((F148-E148)*10000,"n/a")</f>
        <v>n/a</v>
      </c>
      <c r="G149" s="41" t="s">
        <v>40</v>
      </c>
      <c r="H149" s="51">
        <f>IFERROR((H148-F148)*10000,"n/a")</f>
        <v>0</v>
      </c>
      <c r="I149" s="2"/>
    </row>
    <row r="150">
      <c r="A150" s="1"/>
      <c r="B150" s="1" t="s">
        <v>145</v>
      </c>
      <c r="C150" s="41" t="s">
        <v>40</v>
      </c>
      <c r="D150" s="41" t="s">
        <v>40</v>
      </c>
      <c r="E150" s="41" t="s">
        <v>40</v>
      </c>
      <c r="F150" s="41" t="s">
        <v>40</v>
      </c>
      <c r="G150" s="41" t="s">
        <v>40</v>
      </c>
      <c r="H150" s="51" t="str">
        <f>IFERROR((H148-C148)*10000,"n/a")</f>
        <v>n/a</v>
      </c>
      <c r="I150" s="2"/>
    </row>
    <row r="151">
      <c r="A151" s="1"/>
      <c r="B151" s="1" t="s">
        <v>230</v>
      </c>
      <c r="C151" s="3"/>
      <c r="D151" s="3"/>
      <c r="E151" s="3"/>
      <c r="F151" s="8">
        <v>39.911</v>
      </c>
      <c r="G151" s="8">
        <v>90.388</v>
      </c>
      <c r="H151" s="44"/>
      <c r="I151" s="2" t="s">
        <v>225</v>
      </c>
    </row>
    <row r="152">
      <c r="A152" s="1"/>
      <c r="B152" s="1" t="s">
        <v>221</v>
      </c>
      <c r="C152" s="3"/>
      <c r="D152" s="3"/>
      <c r="E152" s="3"/>
      <c r="F152" s="3">
        <f>F147-F151</f>
        <v>0</v>
      </c>
      <c r="G152" s="3">
        <f>G147-G151</f>
        <v>0.3509999999999991</v>
      </c>
      <c r="H152" s="44"/>
      <c r="I152" s="2" t="s">
        <v>231</v>
      </c>
    </row>
    <row r="153">
      <c r="A153" s="1"/>
      <c r="B153" s="1" t="s">
        <v>232</v>
      </c>
      <c r="C153" s="8">
        <v>0.698</v>
      </c>
      <c r="D153" s="8">
        <v>4.715</v>
      </c>
      <c r="E153" s="8">
        <v>14.415</v>
      </c>
      <c r="F153" s="3">
        <f>G161-E161</f>
        <v>14.586000000000002</v>
      </c>
      <c r="G153" s="3">
        <f>SUM(C153:F153)</f>
        <v>34.414</v>
      </c>
      <c r="H153" s="44">
        <f>H125+(F153-F125)</f>
        <v>21.71263043478261</v>
      </c>
      <c r="I153" s="2" t="s">
        <v>233</v>
      </c>
    </row>
    <row r="154">
      <c r="A154" s="1"/>
      <c r="B154" s="1"/>
      <c r="C154" s="7"/>
      <c r="D154" s="7"/>
      <c r="E154" s="7"/>
      <c r="F154" s="7"/>
      <c r="G154" s="7"/>
      <c r="H154" s="42"/>
      <c r="I154" s="2"/>
    </row>
    <row r="155">
      <c r="A155" s="1"/>
      <c r="B155" s="14" t="s">
        <v>234</v>
      </c>
      <c r="C155" s="35"/>
      <c r="D155" s="35"/>
      <c r="E155" s="35"/>
      <c r="F155" s="35"/>
      <c r="G155" s="35"/>
      <c r="H155" s="36"/>
      <c r="I155" s="2"/>
    </row>
    <row r="156">
      <c r="A156" s="1"/>
      <c r="B156" s="1" t="s">
        <v>235</v>
      </c>
      <c r="C156" s="3"/>
      <c r="D156" s="3"/>
      <c r="E156" s="8">
        <v>182.296</v>
      </c>
      <c r="F156" s="3"/>
      <c r="G156" s="8">
        <v>385.304</v>
      </c>
      <c r="H156" s="44"/>
      <c r="I156" s="2" t="s">
        <v>236</v>
      </c>
    </row>
    <row r="157">
      <c r="A157" s="1"/>
      <c r="B157" s="1" t="s">
        <v>237</v>
      </c>
      <c r="C157" s="3"/>
      <c r="D157" s="3"/>
      <c r="E157" s="8">
        <v>144.189</v>
      </c>
      <c r="F157" s="3"/>
      <c r="G157" s="8">
        <v>314.92</v>
      </c>
      <c r="H157" s="44"/>
      <c r="I157" s="2" t="s">
        <v>238</v>
      </c>
    </row>
    <row r="158">
      <c r="A158" s="1"/>
      <c r="B158" s="1" t="s">
        <v>239</v>
      </c>
      <c r="C158" s="3"/>
      <c r="D158" s="3"/>
      <c r="E158" s="8">
        <v>23.921</v>
      </c>
      <c r="F158" s="3"/>
      <c r="G158" s="8">
        <v>30.017</v>
      </c>
      <c r="H158" s="44"/>
      <c r="I158" s="2"/>
    </row>
    <row r="159">
      <c r="A159" s="1"/>
      <c r="B159" s="1" t="s">
        <v>240</v>
      </c>
      <c r="C159" s="3"/>
      <c r="D159" s="3"/>
      <c r="E159" s="8">
        <v>1.24</v>
      </c>
      <c r="F159" s="3"/>
      <c r="G159" s="8">
        <v>1.24</v>
      </c>
      <c r="H159" s="44"/>
      <c r="I159" s="2"/>
    </row>
    <row r="160">
      <c r="A160" s="1"/>
      <c r="B160" s="1" t="s">
        <v>241</v>
      </c>
      <c r="C160" s="3"/>
      <c r="D160" s="3"/>
      <c r="E160" s="8">
        <v>12.946</v>
      </c>
      <c r="F160" s="3"/>
      <c r="G160" s="8">
        <v>39.127</v>
      </c>
      <c r="H160" s="44"/>
      <c r="I160" s="2"/>
    </row>
    <row r="161">
      <c r="A161" s="1"/>
      <c r="B161" s="1" t="s">
        <v>242</v>
      </c>
      <c r="C161" s="3"/>
      <c r="D161" s="3"/>
      <c r="E161" s="8">
        <v>19.828</v>
      </c>
      <c r="F161" s="3"/>
      <c r="G161" s="8">
        <v>34.414</v>
      </c>
      <c r="H161" s="44"/>
      <c r="I161" s="2" t="s">
        <v>243</v>
      </c>
    </row>
    <row r="162">
      <c r="A162" s="1"/>
      <c r="B162" s="1"/>
      <c r="C162" s="7"/>
      <c r="D162" s="7"/>
      <c r="E162" s="7"/>
      <c r="F162" s="7"/>
      <c r="G162" s="7"/>
      <c r="H162" s="42"/>
      <c r="I162" s="2"/>
    </row>
    <row r="163">
      <c r="A163" s="1"/>
      <c r="B163" s="1"/>
      <c r="C163" s="7"/>
      <c r="D163" s="7"/>
      <c r="E163" s="7"/>
      <c r="F163" s="7"/>
      <c r="G163" s="7"/>
      <c r="H163" s="42"/>
      <c r="I163" s="2"/>
    </row>
    <row r="164">
      <c r="A164" s="1"/>
      <c r="B164" s="1"/>
      <c r="C164" s="7"/>
      <c r="D164" s="7"/>
      <c r="E164" s="7"/>
      <c r="F164" s="7"/>
      <c r="G164" s="7"/>
      <c r="H164" s="42"/>
      <c r="I164" s="2"/>
    </row>
  </sheetData>
</worksheet>
</file>

<file path=xl/worksheets/sheet4.xml><?xml version="1.0" encoding="utf-8"?>
<worksheet xmlns="http://schemas.openxmlformats.org/spreadsheetml/2006/main" xmlns:r="http://schemas.openxmlformats.org/officeDocument/2006/relationships">
  <dimension ref="A1:I79"/>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244</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245</v>
      </c>
      <c r="C10" s="35"/>
      <c r="D10" s="35"/>
      <c r="E10" s="35"/>
      <c r="F10" s="35"/>
      <c r="G10" s="35"/>
      <c r="H10" s="36"/>
      <c r="I10" s="2"/>
    </row>
    <row r="11">
      <c r="A11" s="1"/>
      <c r="B11" s="1" t="s">
        <v>246</v>
      </c>
      <c r="C11" s="8">
        <v>106</v>
      </c>
      <c r="D11" s="8">
        <v>106</v>
      </c>
      <c r="E11" s="8">
        <v>106</v>
      </c>
      <c r="F11" s="8">
        <v>106</v>
      </c>
      <c r="G11" s="3">
        <f>F11</f>
        <v>106</v>
      </c>
      <c r="H11" s="44">
        <f>F11</f>
        <v>106</v>
      </c>
      <c r="I11" s="2" t="s">
        <v>247</v>
      </c>
    </row>
    <row r="12">
      <c r="A12" s="1"/>
      <c r="B12" s="1" t="s">
        <v>131</v>
      </c>
      <c r="C12" s="3" t="s">
        <v>40</v>
      </c>
      <c r="D12" s="3">
        <f>IFERROR(D11-C11,"n/a")</f>
        <v>0</v>
      </c>
      <c r="E12" s="3">
        <f>IFERROR(E11-D11,"n/a")</f>
        <v>0</v>
      </c>
      <c r="F12" s="3">
        <f>IFERROR(F11-E11,"n/a")</f>
        <v>0</v>
      </c>
      <c r="G12" s="3" t="s">
        <v>40</v>
      </c>
      <c r="H12" s="44">
        <f>IFERROR(H11-F11,"n/a")</f>
        <v>0</v>
      </c>
      <c r="I12" s="2"/>
    </row>
    <row r="13">
      <c r="A13" s="1"/>
      <c r="B13" s="1" t="s">
        <v>130</v>
      </c>
      <c r="C13" s="3" t="s">
        <v>40</v>
      </c>
      <c r="D13" s="3" t="s">
        <v>40</v>
      </c>
      <c r="E13" s="3" t="s">
        <v>40</v>
      </c>
      <c r="F13" s="3" t="s">
        <v>40</v>
      </c>
      <c r="G13" s="3" t="s">
        <v>40</v>
      </c>
      <c r="H13" s="44">
        <f>IFERROR(H11-C11,"n/a")</f>
        <v>0</v>
      </c>
      <c r="I13" s="2"/>
    </row>
    <row r="14">
      <c r="A14" s="1"/>
      <c r="B14" s="1" t="s">
        <v>248</v>
      </c>
      <c r="C14" s="8">
        <v>180</v>
      </c>
      <c r="D14" s="8">
        <v>180</v>
      </c>
      <c r="E14" s="8">
        <v>180</v>
      </c>
      <c r="F14" s="8">
        <v>180</v>
      </c>
      <c r="G14" s="3">
        <f>F14</f>
        <v>180</v>
      </c>
      <c r="H14" s="44">
        <f>F14</f>
        <v>180</v>
      </c>
      <c r="I14" s="2" t="s">
        <v>249</v>
      </c>
    </row>
    <row r="15">
      <c r="A15" s="1"/>
      <c r="B15" s="1" t="s">
        <v>131</v>
      </c>
      <c r="C15" s="3" t="s">
        <v>40</v>
      </c>
      <c r="D15" s="3">
        <f>IFERROR(D14-C14,"n/a")</f>
        <v>0</v>
      </c>
      <c r="E15" s="3">
        <f>IFERROR(E14-D14,"n/a")</f>
        <v>0</v>
      </c>
      <c r="F15" s="3">
        <f>IFERROR(F14-E14,"n/a")</f>
        <v>0</v>
      </c>
      <c r="G15" s="3" t="s">
        <v>40</v>
      </c>
      <c r="H15" s="44">
        <f>IFERROR(H14-F14,"n/a")</f>
        <v>0</v>
      </c>
      <c r="I15" s="2"/>
    </row>
    <row r="16">
      <c r="A16" s="1"/>
      <c r="B16" s="1" t="s">
        <v>130</v>
      </c>
      <c r="C16" s="3" t="s">
        <v>40</v>
      </c>
      <c r="D16" s="3" t="s">
        <v>40</v>
      </c>
      <c r="E16" s="3" t="s">
        <v>40</v>
      </c>
      <c r="F16" s="3" t="s">
        <v>40</v>
      </c>
      <c r="G16" s="3" t="s">
        <v>40</v>
      </c>
      <c r="H16" s="44">
        <f>IFERROR(H14-C14,"n/a")</f>
        <v>0</v>
      </c>
      <c r="I16" s="2"/>
    </row>
    <row r="17">
      <c r="A17" s="1"/>
      <c r="B17" s="1" t="s">
        <v>250</v>
      </c>
      <c r="C17" s="8">
        <v>286</v>
      </c>
      <c r="D17" s="3">
        <f>C21</f>
        <v>286</v>
      </c>
      <c r="E17" s="3">
        <f>D21</f>
        <v>286</v>
      </c>
      <c r="F17" s="3">
        <f>E21</f>
        <v>286</v>
      </c>
      <c r="G17" s="3">
        <f>C17</f>
        <v>286</v>
      </c>
      <c r="H17" s="44">
        <f>F21</f>
        <v>286</v>
      </c>
      <c r="I17" s="2" t="s">
        <v>251</v>
      </c>
    </row>
    <row r="18">
      <c r="A18" s="1"/>
      <c r="B18" s="1" t="s">
        <v>252</v>
      </c>
      <c r="C18" s="8">
        <v>0</v>
      </c>
      <c r="D18" s="8">
        <v>0</v>
      </c>
      <c r="E18" s="8">
        <v>0</v>
      </c>
      <c r="F18" s="8">
        <v>0</v>
      </c>
      <c r="G18" s="3">
        <f>SUM(C18:F18)</f>
        <v>0</v>
      </c>
      <c r="H18" s="61">
        <v>0</v>
      </c>
      <c r="I18" s="2"/>
    </row>
    <row r="19">
      <c r="A19" s="1"/>
      <c r="B19" s="1" t="s">
        <v>253</v>
      </c>
      <c r="C19" s="8">
        <v>0</v>
      </c>
      <c r="D19" s="8">
        <v>0</v>
      </c>
      <c r="E19" s="8">
        <v>0</v>
      </c>
      <c r="F19" s="8">
        <v>0</v>
      </c>
      <c r="G19" s="3">
        <f>SUM(C19:F19)</f>
        <v>0</v>
      </c>
      <c r="H19" s="61">
        <v>0</v>
      </c>
      <c r="I19" s="2" t="s">
        <v>254</v>
      </c>
    </row>
    <row r="20">
      <c r="A20" s="1"/>
      <c r="B20" s="1" t="s">
        <v>126</v>
      </c>
      <c r="C20" s="3">
        <f>C18-C19</f>
        <v>0</v>
      </c>
      <c r="D20" s="3">
        <f>D18-D19</f>
        <v>0</v>
      </c>
      <c r="E20" s="3">
        <f>E18-E19</f>
        <v>0</v>
      </c>
      <c r="F20" s="3">
        <f>F18-F19</f>
        <v>0</v>
      </c>
      <c r="G20" s="3">
        <f>G18-G19</f>
        <v>0</v>
      </c>
      <c r="H20" s="44">
        <f>H18-H19</f>
        <v>0</v>
      </c>
      <c r="I20" s="2"/>
    </row>
    <row r="21">
      <c r="A21" s="1"/>
      <c r="B21" s="14" t="s">
        <v>255</v>
      </c>
      <c r="C21" s="37">
        <f>C17+C20</f>
        <v>286</v>
      </c>
      <c r="D21" s="37">
        <f>D17+D20</f>
        <v>286</v>
      </c>
      <c r="E21" s="37">
        <f>E17+E20</f>
        <v>286</v>
      </c>
      <c r="F21" s="37">
        <f>F17+F20</f>
        <v>286</v>
      </c>
      <c r="G21" s="37">
        <f>G17+G20</f>
        <v>286</v>
      </c>
      <c r="H21" s="56">
        <f>H17+H20</f>
        <v>286</v>
      </c>
      <c r="I21" s="2"/>
    </row>
    <row r="22">
      <c r="A22" s="1"/>
      <c r="B22" s="1" t="s">
        <v>256</v>
      </c>
      <c r="C22" s="3">
        <f>C21-C11-C14</f>
        <v>0</v>
      </c>
      <c r="D22" s="3">
        <f>D21-D11-D14</f>
        <v>0</v>
      </c>
      <c r="E22" s="3">
        <f>E21-E11-E14</f>
        <v>0</v>
      </c>
      <c r="F22" s="3">
        <f>F21-F11-F14</f>
        <v>0</v>
      </c>
      <c r="G22" s="3">
        <f>G21-G11-G14</f>
        <v>0</v>
      </c>
      <c r="H22" s="44">
        <f>H21-H11-H14</f>
        <v>0</v>
      </c>
      <c r="I22" s="2"/>
    </row>
    <row r="23">
      <c r="A23" s="1"/>
      <c r="B23" s="1" t="s">
        <v>131</v>
      </c>
      <c r="C23" s="3" t="s">
        <v>40</v>
      </c>
      <c r="D23" s="3">
        <f>IFERROR(D21-C21,"n/a")</f>
        <v>0</v>
      </c>
      <c r="E23" s="3">
        <f>IFERROR(E21-D21,"n/a")</f>
        <v>0</v>
      </c>
      <c r="F23" s="3">
        <f>IFERROR(F21-E21,"n/a")</f>
        <v>0</v>
      </c>
      <c r="G23" s="3" t="s">
        <v>40</v>
      </c>
      <c r="H23" s="44">
        <f>IFERROR(H21-F21,"n/a")</f>
        <v>0</v>
      </c>
      <c r="I23" s="2"/>
    </row>
    <row r="24">
      <c r="A24" s="1"/>
      <c r="B24" s="1" t="s">
        <v>130</v>
      </c>
      <c r="C24" s="3" t="s">
        <v>40</v>
      </c>
      <c r="D24" s="3" t="s">
        <v>40</v>
      </c>
      <c r="E24" s="3" t="s">
        <v>40</v>
      </c>
      <c r="F24" s="3" t="s">
        <v>40</v>
      </c>
      <c r="G24" s="3" t="s">
        <v>40</v>
      </c>
      <c r="H24" s="44">
        <f>IFERROR(H21-C21,"n/a")</f>
        <v>0</v>
      </c>
      <c r="I24" s="2"/>
    </row>
    <row r="25">
      <c r="A25" s="1"/>
      <c r="B25" s="14" t="s">
        <v>257</v>
      </c>
      <c r="C25" s="37">
        <f>AVERAGE(C17,C21)</f>
        <v>286</v>
      </c>
      <c r="D25" s="37">
        <f>AVERAGE(D17,D21)</f>
        <v>286</v>
      </c>
      <c r="E25" s="37">
        <f>AVERAGE(E17,E21)</f>
        <v>286</v>
      </c>
      <c r="F25" s="37">
        <f>AVERAGE(F17,F21)</f>
        <v>286</v>
      </c>
      <c r="G25" s="37">
        <f>AVERAGE(C25:F25)</f>
        <v>286</v>
      </c>
      <c r="H25" s="56">
        <f>AVERAGE(H17,H21)</f>
        <v>286</v>
      </c>
      <c r="I25" s="2"/>
    </row>
    <row r="26">
      <c r="A26" s="1"/>
      <c r="B26" s="1" t="s">
        <v>131</v>
      </c>
      <c r="C26" s="3" t="s">
        <v>40</v>
      </c>
      <c r="D26" s="3">
        <f>IFERROR(D25-C25,"n/a")</f>
        <v>0</v>
      </c>
      <c r="E26" s="3">
        <f>IFERROR(E25-D25,"n/a")</f>
        <v>0</v>
      </c>
      <c r="F26" s="3">
        <f>IFERROR(F25-E25,"n/a")</f>
        <v>0</v>
      </c>
      <c r="G26" s="3" t="s">
        <v>40</v>
      </c>
      <c r="H26" s="44">
        <f>IFERROR(H25-F25,"n/a")</f>
        <v>0</v>
      </c>
      <c r="I26" s="2"/>
    </row>
    <row r="27">
      <c r="A27" s="1"/>
      <c r="B27" s="1" t="s">
        <v>130</v>
      </c>
      <c r="C27" s="3" t="s">
        <v>40</v>
      </c>
      <c r="D27" s="3" t="s">
        <v>40</v>
      </c>
      <c r="E27" s="3" t="s">
        <v>40</v>
      </c>
      <c r="F27" s="3" t="s">
        <v>40</v>
      </c>
      <c r="G27" s="3" t="s">
        <v>40</v>
      </c>
      <c r="H27" s="44">
        <f>IFERROR(H25-C25,"n/a")</f>
        <v>0</v>
      </c>
      <c r="I27" s="2"/>
    </row>
    <row r="28">
      <c r="A28" s="1"/>
      <c r="B28" s="25" t="s">
        <v>258</v>
      </c>
      <c r="C28" s="45">
        <v>1</v>
      </c>
      <c r="D28" s="45">
        <v>1</v>
      </c>
      <c r="E28" s="45">
        <v>1</v>
      </c>
      <c r="F28" s="45">
        <v>1</v>
      </c>
      <c r="G28" s="23">
        <f>AVERAGE(C28:F28)</f>
        <v>1</v>
      </c>
      <c r="H28" s="50">
        <f>F28</f>
        <v>1</v>
      </c>
      <c r="I28" s="2" t="s">
        <v>259</v>
      </c>
    </row>
    <row r="29">
      <c r="A29" s="1"/>
      <c r="B29" s="1" t="s">
        <v>144</v>
      </c>
      <c r="C29" s="41" t="s">
        <v>40</v>
      </c>
      <c r="D29" s="41">
        <f>IFERROR((D28-C28)*10000,"n/a")</f>
        <v>0</v>
      </c>
      <c r="E29" s="41">
        <f>IFERROR((E28-D28)*10000,"n/a")</f>
        <v>0</v>
      </c>
      <c r="F29" s="41">
        <f>IFERROR((F28-E28)*10000,"n/a")</f>
        <v>0</v>
      </c>
      <c r="G29" s="41" t="s">
        <v>40</v>
      </c>
      <c r="H29" s="51">
        <f>IFERROR((H28-F28)*10000,"n/a")</f>
        <v>0</v>
      </c>
      <c r="I29" s="2"/>
    </row>
    <row r="30">
      <c r="A30" s="1"/>
      <c r="B30" s="1" t="s">
        <v>145</v>
      </c>
      <c r="C30" s="41" t="s">
        <v>40</v>
      </c>
      <c r="D30" s="41" t="s">
        <v>40</v>
      </c>
      <c r="E30" s="41" t="s">
        <v>40</v>
      </c>
      <c r="F30" s="41" t="s">
        <v>40</v>
      </c>
      <c r="G30" s="41" t="s">
        <v>40</v>
      </c>
      <c r="H30" s="51">
        <f>IFERROR((H28-C28)*10000,"n/a")</f>
        <v>0</v>
      </c>
      <c r="I30" s="2"/>
    </row>
    <row r="31">
      <c r="A31" s="1"/>
      <c r="B31" s="1" t="s">
        <v>260</v>
      </c>
      <c r="C31" s="63">
        <v>1</v>
      </c>
      <c r="D31" s="63">
        <v>1</v>
      </c>
      <c r="E31" s="63">
        <v>1</v>
      </c>
      <c r="F31" s="63">
        <v>1</v>
      </c>
      <c r="G31" s="41">
        <f>F31</f>
        <v>1</v>
      </c>
      <c r="H31" s="51">
        <f>F31</f>
        <v>1</v>
      </c>
      <c r="I31" s="2" t="s">
        <v>261</v>
      </c>
    </row>
    <row r="32">
      <c r="A32" s="1"/>
      <c r="B32" s="1" t="s">
        <v>93</v>
      </c>
      <c r="C32" s="41" t="s">
        <v>40</v>
      </c>
      <c r="D32" s="41">
        <f>IFERROR(D31-C31,"n/a")</f>
        <v>0</v>
      </c>
      <c r="E32" s="41">
        <f>IFERROR(E31-D31,"n/a")</f>
        <v>0</v>
      </c>
      <c r="F32" s="41">
        <f>IFERROR(F31-E31,"n/a")</f>
        <v>0</v>
      </c>
      <c r="G32" s="41" t="s">
        <v>40</v>
      </c>
      <c r="H32" s="51">
        <f>IFERROR(H31-F31,"n/a")</f>
        <v>0</v>
      </c>
      <c r="I32" s="2"/>
    </row>
    <row r="33">
      <c r="A33" s="1"/>
      <c r="B33" s="1" t="s">
        <v>94</v>
      </c>
      <c r="C33" s="41" t="s">
        <v>40</v>
      </c>
      <c r="D33" s="41" t="s">
        <v>40</v>
      </c>
      <c r="E33" s="41" t="s">
        <v>40</v>
      </c>
      <c r="F33" s="41" t="s">
        <v>40</v>
      </c>
      <c r="G33" s="41" t="s">
        <v>40</v>
      </c>
      <c r="H33" s="51">
        <f>IFERROR(H31-C31,"n/a")</f>
        <v>0</v>
      </c>
      <c r="I33" s="2"/>
    </row>
    <row r="34">
      <c r="A34" s="1"/>
      <c r="B34" s="1"/>
      <c r="C34" s="7"/>
      <c r="D34" s="7"/>
      <c r="E34" s="7"/>
      <c r="F34" s="7"/>
      <c r="G34" s="7"/>
      <c r="H34" s="42"/>
      <c r="I34" s="2"/>
    </row>
    <row r="35">
      <c r="A35" s="1"/>
      <c r="B35" s="14" t="s">
        <v>262</v>
      </c>
      <c r="C35" s="35"/>
      <c r="D35" s="35"/>
      <c r="E35" s="35"/>
      <c r="F35" s="35"/>
      <c r="G35" s="35"/>
      <c r="H35" s="36"/>
      <c r="I35" s="2"/>
    </row>
    <row r="36">
      <c r="A36" s="1"/>
      <c r="B36" s="1" t="s">
        <v>263</v>
      </c>
      <c r="C36" s="43">
        <f>C44/(C25*C28)</f>
        <v>0.1325909090909091</v>
      </c>
      <c r="D36" s="43">
        <f>D44/(D25*D28)</f>
        <v>0.14544405594405596</v>
      </c>
      <c r="E36" s="43">
        <f>E44/(E25*E28)</f>
        <v>0.13126573426573426</v>
      </c>
      <c r="F36" s="43">
        <f>F44/(F25*F28)</f>
        <v>0.13057342657342655</v>
      </c>
      <c r="G36" s="43" t="s">
        <v>40</v>
      </c>
      <c r="H36" s="55">
        <f>AVERAGE(E36:F36)</f>
        <v>0.1309195804195804</v>
      </c>
      <c r="I36" s="2" t="s">
        <v>264</v>
      </c>
    </row>
    <row r="37">
      <c r="A37" s="1"/>
      <c r="B37" s="1" t="s">
        <v>93</v>
      </c>
      <c r="C37" s="43" t="s">
        <v>40</v>
      </c>
      <c r="D37" s="43">
        <f>IFERROR(D36-C36,"n/a")</f>
        <v>0.012853146853146868</v>
      </c>
      <c r="E37" s="43">
        <f>IFERROR(E36-D36,"n/a")</f>
        <v>-0.014178321678321698</v>
      </c>
      <c r="F37" s="43">
        <f>IFERROR(F36-E36,"n/a")</f>
        <v>-0.0006923076923077143</v>
      </c>
      <c r="G37" s="43" t="s">
        <v>40</v>
      </c>
      <c r="H37" s="55">
        <f>IFERROR(H36-F36,"n/a")</f>
        <v>0.00034615384615385714</v>
      </c>
      <c r="I37" s="2"/>
    </row>
    <row r="38">
      <c r="A38" s="1"/>
      <c r="B38" s="1" t="s">
        <v>94</v>
      </c>
      <c r="C38" s="43" t="s">
        <v>40</v>
      </c>
      <c r="D38" s="43" t="s">
        <v>40</v>
      </c>
      <c r="E38" s="43" t="s">
        <v>40</v>
      </c>
      <c r="F38" s="43" t="s">
        <v>40</v>
      </c>
      <c r="G38" s="43" t="s">
        <v>40</v>
      </c>
      <c r="H38" s="55">
        <f>IFERROR(H36-C36,"n/a")</f>
        <v>-0.0016713286713286868</v>
      </c>
      <c r="I38" s="2"/>
    </row>
    <row r="39">
      <c r="A39" s="1"/>
      <c r="B39" s="1" t="s">
        <v>265</v>
      </c>
      <c r="C39" s="43">
        <f>C53/C25</f>
        <v>0.10632517482517483</v>
      </c>
      <c r="D39" s="43">
        <f>D53/D25</f>
        <v>0.08794755244755244</v>
      </c>
      <c r="E39" s="43">
        <f>E53/E25</f>
        <v>0.08039160839160839</v>
      </c>
      <c r="F39" s="43">
        <f>F53/F25</f>
        <v>0.0854055944055944</v>
      </c>
      <c r="G39" s="43" t="s">
        <v>40</v>
      </c>
      <c r="H39" s="55">
        <f>AVERAGE(E39:F39)</f>
        <v>0.08289860139860139</v>
      </c>
      <c r="I39" s="2" t="s">
        <v>266</v>
      </c>
    </row>
    <row r="40">
      <c r="A40" s="1"/>
      <c r="B40" s="1" t="s">
        <v>93</v>
      </c>
      <c r="C40" s="43" t="s">
        <v>40</v>
      </c>
      <c r="D40" s="43">
        <f>IFERROR(D39-C39,"n/a")</f>
        <v>-0.018377622377622388</v>
      </c>
      <c r="E40" s="43">
        <f>IFERROR(E39-D39,"n/a")</f>
        <v>-0.00755594405594405</v>
      </c>
      <c r="F40" s="43">
        <f>IFERROR(F39-E39,"n/a")</f>
        <v>0.005013986013986019</v>
      </c>
      <c r="G40" s="43" t="s">
        <v>40</v>
      </c>
      <c r="H40" s="55">
        <f>IFERROR(H39-F39,"n/a")</f>
        <v>-0.0025069930069930163</v>
      </c>
      <c r="I40" s="2"/>
    </row>
    <row r="41">
      <c r="A41" s="1"/>
      <c r="B41" s="1" t="s">
        <v>94</v>
      </c>
      <c r="C41" s="43" t="s">
        <v>40</v>
      </c>
      <c r="D41" s="43" t="s">
        <v>40</v>
      </c>
      <c r="E41" s="43" t="s">
        <v>40</v>
      </c>
      <c r="F41" s="43" t="s">
        <v>40</v>
      </c>
      <c r="G41" s="43" t="s">
        <v>40</v>
      </c>
      <c r="H41" s="55">
        <f>IFERROR(H39-C39,"n/a")</f>
        <v>-0.023426573426573435</v>
      </c>
      <c r="I41" s="2"/>
    </row>
    <row r="42">
      <c r="A42" s="1"/>
      <c r="B42" s="1"/>
      <c r="C42" s="7"/>
      <c r="D42" s="7"/>
      <c r="E42" s="7"/>
      <c r="F42" s="7"/>
      <c r="G42" s="7"/>
      <c r="H42" s="42"/>
      <c r="I42" s="2"/>
    </row>
    <row r="43">
      <c r="A43" s="1"/>
      <c r="B43" s="14" t="s">
        <v>267</v>
      </c>
      <c r="C43" s="35"/>
      <c r="D43" s="35"/>
      <c r="E43" s="35"/>
      <c r="F43" s="35"/>
      <c r="G43" s="35"/>
      <c r="H43" s="36"/>
      <c r="I43" s="2"/>
    </row>
    <row r="44">
      <c r="A44" s="1"/>
      <c r="B44" s="14" t="s">
        <v>268</v>
      </c>
      <c r="C44" s="47">
        <v>37.921</v>
      </c>
      <c r="D44" s="47">
        <v>41.597</v>
      </c>
      <c r="E44" s="47">
        <v>37.542</v>
      </c>
      <c r="F44" s="37">
        <f>G71-E71</f>
        <v>37.343999999999994</v>
      </c>
      <c r="G44" s="37">
        <f>SUM(C44:F44)</f>
        <v>154.404</v>
      </c>
      <c r="H44" s="56">
        <f>H25*H28*H36</f>
        <v>37.443</v>
      </c>
      <c r="I44" s="2" t="s">
        <v>269</v>
      </c>
    </row>
    <row r="45">
      <c r="A45" s="1"/>
      <c r="B45" s="1" t="s">
        <v>74</v>
      </c>
      <c r="C45" s="8">
        <v>34.849</v>
      </c>
      <c r="D45" s="8">
        <v>36.163</v>
      </c>
      <c r="E45" s="8">
        <v>35.167</v>
      </c>
      <c r="F45" s="8">
        <v>38.013</v>
      </c>
      <c r="G45" s="3">
        <f>SUM(C45:F45)</f>
        <v>144.192</v>
      </c>
      <c r="H45" s="44">
        <f>C44</f>
        <v>37.921</v>
      </c>
      <c r="I45" s="2" t="s">
        <v>270</v>
      </c>
    </row>
    <row r="46">
      <c r="A46" s="1"/>
      <c r="B46" s="25" t="s">
        <v>75</v>
      </c>
      <c r="C46" s="23">
        <f>IF(C45=0,"n/m",C44/C45-1)</f>
        <v>0.08815174036557738</v>
      </c>
      <c r="D46" s="23">
        <f>IF(D45=0,"n/m",D44/D45-1)</f>
        <v>0.15026408207283692</v>
      </c>
      <c r="E46" s="23">
        <f>IF(E45=0,"n/m",E44/E45-1)</f>
        <v>0.06753490488241809</v>
      </c>
      <c r="F46" s="23">
        <f>IF(F45=0,"n/m",F44/F45-1)</f>
        <v>-0.017599242364454426</v>
      </c>
      <c r="G46" s="23">
        <f>IF(G45=0,"n/m",G44/G45-1)</f>
        <v>0.07082223701731016</v>
      </c>
      <c r="H46" s="50">
        <f>IF(H45=0,"n/m",H44/H45-1)</f>
        <v>-0.012605152817700027</v>
      </c>
      <c r="I46" s="2"/>
    </row>
    <row r="47">
      <c r="A47" s="1"/>
      <c r="B47" s="25" t="s">
        <v>76</v>
      </c>
      <c r="C47" s="23">
        <f>IF(F45=0,"n/m",C44/F45-1)</f>
        <v>-0.0024202246599847044</v>
      </c>
      <c r="D47" s="23">
        <f>IFERROR(IF(C44=0,"n/m",D44/C44-1),"n/a")</f>
        <v>0.09693837187837873</v>
      </c>
      <c r="E47" s="23">
        <f>IFERROR(IF(D44=0,"n/m",E44/D44-1),"n/a")</f>
        <v>-0.09748299156189144</v>
      </c>
      <c r="F47" s="23">
        <f>IFERROR(IF(E44=0,"n/m",F44/E44-1),"n/a")</f>
        <v>-0.00527409301582249</v>
      </c>
      <c r="G47" s="23" t="s">
        <v>40</v>
      </c>
      <c r="H47" s="50">
        <f>IFERROR(IF(F44=0,"n/m",H44/F44-1),"n/a")</f>
        <v>0.0026510282776350813</v>
      </c>
      <c r="I47" s="2"/>
    </row>
    <row r="48">
      <c r="A48" s="1"/>
      <c r="B48" s="1" t="s">
        <v>93</v>
      </c>
      <c r="C48" s="3">
        <f>IFERROR(C44-F45,"n/a")</f>
        <v>-0.09199999999999875</v>
      </c>
      <c r="D48" s="3">
        <f>IFERROR(D44-C44,"n/a")</f>
        <v>3.676000000000002</v>
      </c>
      <c r="E48" s="3">
        <f>IFERROR(E44-D44,"n/a")</f>
        <v>-4.055</v>
      </c>
      <c r="F48" s="3">
        <f>IFERROR(F44-E44,"n/a")</f>
        <v>-0.1980000000000075</v>
      </c>
      <c r="G48" s="3" t="s">
        <v>40</v>
      </c>
      <c r="H48" s="44">
        <f>IFERROR(H44-F44,"n/a")</f>
        <v>0.09900000000000375</v>
      </c>
      <c r="I48" s="2"/>
    </row>
    <row r="49">
      <c r="A49" s="1"/>
      <c r="B49" s="25" t="s">
        <v>78</v>
      </c>
      <c r="C49" s="45">
        <v>0</v>
      </c>
      <c r="D49" s="45">
        <v>0</v>
      </c>
      <c r="E49" s="45">
        <v>0</v>
      </c>
      <c r="F49" s="45">
        <v>0</v>
      </c>
      <c r="G49" s="45">
        <v>0</v>
      </c>
      <c r="H49" s="46">
        <v>0</v>
      </c>
      <c r="I49" s="2" t="s">
        <v>79</v>
      </c>
    </row>
    <row r="50">
      <c r="A50" s="1"/>
      <c r="B50" s="25" t="s">
        <v>80</v>
      </c>
      <c r="C50" s="45">
        <v>0</v>
      </c>
      <c r="D50" s="45">
        <v>0</v>
      </c>
      <c r="E50" s="45">
        <v>0</v>
      </c>
      <c r="F50" s="45">
        <v>0</v>
      </c>
      <c r="G50" s="45">
        <v>0</v>
      </c>
      <c r="H50" s="46">
        <v>0</v>
      </c>
      <c r="I50" s="2" t="s">
        <v>81</v>
      </c>
    </row>
    <row r="51">
      <c r="A51" s="1"/>
      <c r="B51" s="25" t="s">
        <v>82</v>
      </c>
      <c r="C51" s="23">
        <f>IFERROR((1+C46)/((1+C49)*(1+C50))-1,"n/m")</f>
        <v>0.08815174036557738</v>
      </c>
      <c r="D51" s="23">
        <f>IFERROR((1+D46)/((1+D49)*(1+D50))-1,"n/m")</f>
        <v>0.15026408207283692</v>
      </c>
      <c r="E51" s="23">
        <f>IFERROR((1+E46)/((1+E49)*(1+E50))-1,"n/m")</f>
        <v>0.06753490488241809</v>
      </c>
      <c r="F51" s="23">
        <f>IFERROR((1+F46)/((1+F49)*(1+F50))-1,"n/m")</f>
        <v>-0.017599242364454426</v>
      </c>
      <c r="G51" s="23">
        <f>IFERROR((1+G46)/((1+G49)*(1+G50))-1,"n/m")</f>
        <v>0.07082223701731016</v>
      </c>
      <c r="H51" s="50">
        <f>IFERROR((1+H46)/((1+H49)*(1+H50))-1,"n/m")</f>
        <v>-0.012605152817700027</v>
      </c>
      <c r="I51" s="2"/>
    </row>
    <row r="52">
      <c r="A52" s="1"/>
      <c r="B52" s="25" t="s">
        <v>83</v>
      </c>
      <c r="C52" s="23">
        <f>C46</f>
        <v>0.08815174036557738</v>
      </c>
      <c r="D52" s="23">
        <f>D46</f>
        <v>0.15026408207283692</v>
      </c>
      <c r="E52" s="23">
        <f>E46</f>
        <v>0.06753490488241809</v>
      </c>
      <c r="F52" s="23">
        <f>F46</f>
        <v>-0.017599242364454426</v>
      </c>
      <c r="G52" s="23">
        <f>G46</f>
        <v>0.07082223701731016</v>
      </c>
      <c r="H52" s="50">
        <f>H46</f>
        <v>-0.012605152817700027</v>
      </c>
      <c r="I52" s="2"/>
    </row>
    <row r="53">
      <c r="A53" s="1"/>
      <c r="B53" s="1" t="s">
        <v>271</v>
      </c>
      <c r="C53" s="8">
        <v>30.409</v>
      </c>
      <c r="D53" s="8">
        <v>25.153</v>
      </c>
      <c r="E53" s="8">
        <v>22.992</v>
      </c>
      <c r="F53" s="3">
        <f>G72-E72</f>
        <v>24.426000000000002</v>
      </c>
      <c r="G53" s="3">
        <f>SUM(C53:F53)</f>
        <v>102.98</v>
      </c>
      <c r="H53" s="44">
        <f>H25*H39</f>
        <v>23.708999999999996</v>
      </c>
      <c r="I53" s="2" t="s">
        <v>220</v>
      </c>
    </row>
    <row r="54">
      <c r="A54" s="1"/>
      <c r="B54" s="25" t="s">
        <v>272</v>
      </c>
      <c r="C54" s="23">
        <f>1-C53/C44</f>
        <v>0.19809604177105034</v>
      </c>
      <c r="D54" s="23">
        <f>1-D53/D44</f>
        <v>0.3953169699737963</v>
      </c>
      <c r="E54" s="23">
        <f>1-E53/E44</f>
        <v>0.3875659261626978</v>
      </c>
      <c r="F54" s="23">
        <f>1-F53/F44</f>
        <v>0.3459190231362467</v>
      </c>
      <c r="G54" s="23">
        <f>1-G53/G44</f>
        <v>0.33304836662262627</v>
      </c>
      <c r="H54" s="50">
        <f>1-H53/H44</f>
        <v>0.36679753224901857</v>
      </c>
      <c r="I54" s="2"/>
    </row>
    <row r="55">
      <c r="A55" s="1"/>
      <c r="B55" s="1" t="s">
        <v>144</v>
      </c>
      <c r="C55" s="41" t="s">
        <v>40</v>
      </c>
      <c r="D55" s="41">
        <f>IFERROR((D54-C54)*10000,"n/a")</f>
        <v>1972.2092820274595</v>
      </c>
      <c r="E55" s="41">
        <f>IFERROR((E54-D54)*10000,"n/a")</f>
        <v>-77.5104381109848</v>
      </c>
      <c r="F55" s="41">
        <f>IFERROR((F54-E54)*10000,"n/a")</f>
        <v>-416.46903026451133</v>
      </c>
      <c r="G55" s="41" t="s">
        <v>40</v>
      </c>
      <c r="H55" s="51">
        <f>IFERROR((H54-F54)*10000,"n/a")</f>
        <v>208.7850911277189</v>
      </c>
      <c r="I55" s="2"/>
    </row>
    <row r="56">
      <c r="A56" s="1"/>
      <c r="B56" s="1" t="s">
        <v>145</v>
      </c>
      <c r="C56" s="41" t="s">
        <v>40</v>
      </c>
      <c r="D56" s="41" t="s">
        <v>40</v>
      </c>
      <c r="E56" s="41" t="s">
        <v>40</v>
      </c>
      <c r="F56" s="41" t="s">
        <v>40</v>
      </c>
      <c r="G56" s="41" t="s">
        <v>40</v>
      </c>
      <c r="H56" s="51">
        <f>IFERROR((H54-C54)*10000,"n/a")</f>
        <v>1687.0149047796824</v>
      </c>
      <c r="I56" s="2"/>
    </row>
    <row r="57">
      <c r="A57" s="1"/>
      <c r="B57" s="1" t="s">
        <v>273</v>
      </c>
      <c r="C57" s="8">
        <v>0.965</v>
      </c>
      <c r="D57" s="8">
        <v>0.485</v>
      </c>
      <c r="E57" s="8">
        <v>0.688</v>
      </c>
      <c r="F57" s="3">
        <f>G73-E73</f>
        <v>0.3780000000000001</v>
      </c>
      <c r="G57" s="3">
        <f>SUM(C57:F57)</f>
        <v>2.516</v>
      </c>
      <c r="H57" s="44">
        <f>AVERAGE(E57:F57)</f>
        <v>0.533</v>
      </c>
      <c r="I57" s="2"/>
    </row>
    <row r="58">
      <c r="A58" s="1"/>
      <c r="B58" s="1" t="s">
        <v>93</v>
      </c>
      <c r="C58" s="3" t="s">
        <v>40</v>
      </c>
      <c r="D58" s="3">
        <f>IFERROR(D57-C57,"n/a")</f>
        <v>-0.48</v>
      </c>
      <c r="E58" s="3">
        <f>IFERROR(E57-D57,"n/a")</f>
        <v>0.20299999999999996</v>
      </c>
      <c r="F58" s="3">
        <f>IFERROR(F57-E57,"n/a")</f>
        <v>-0.30999999999999983</v>
      </c>
      <c r="G58" s="3" t="s">
        <v>40</v>
      </c>
      <c r="H58" s="44">
        <f>IFERROR(H57-F57,"n/a")</f>
        <v>0.15499999999999992</v>
      </c>
      <c r="I58" s="2"/>
    </row>
    <row r="59">
      <c r="A59" s="1"/>
      <c r="B59" s="1" t="s">
        <v>94</v>
      </c>
      <c r="C59" s="3" t="s">
        <v>40</v>
      </c>
      <c r="D59" s="3" t="s">
        <v>40</v>
      </c>
      <c r="E59" s="3" t="s">
        <v>40</v>
      </c>
      <c r="F59" s="3" t="s">
        <v>40</v>
      </c>
      <c r="G59" s="3" t="s">
        <v>40</v>
      </c>
      <c r="H59" s="44">
        <f>IFERROR(H57-C57,"n/a")</f>
        <v>-0.43199999999999994</v>
      </c>
      <c r="I59" s="2"/>
    </row>
    <row r="60">
      <c r="A60" s="1"/>
      <c r="B60" s="1" t="s">
        <v>274</v>
      </c>
      <c r="C60" s="8">
        <v>0.512</v>
      </c>
      <c r="D60" s="8">
        <v>0</v>
      </c>
      <c r="E60" s="8">
        <v>0.003</v>
      </c>
      <c r="F60" s="3">
        <f>G74-E74</f>
        <v>0.05499999999999994</v>
      </c>
      <c r="G60" s="3">
        <f>SUM(C60:F60)</f>
        <v>0.57</v>
      </c>
      <c r="H60" s="61">
        <v>0</v>
      </c>
      <c r="I60" s="2"/>
    </row>
    <row r="61">
      <c r="A61" s="1"/>
      <c r="B61" s="14" t="s">
        <v>275</v>
      </c>
      <c r="C61" s="37">
        <f>C44-C53-C57-C60</f>
        <v>6.035</v>
      </c>
      <c r="D61" s="37">
        <f>D44-D53-D57-D60</f>
        <v>15.959000000000003</v>
      </c>
      <c r="E61" s="37">
        <f>E44-E53-E57-E60</f>
        <v>13.859</v>
      </c>
      <c r="F61" s="37">
        <f>F44-F53-F57-F60</f>
        <v>12.484999999999992</v>
      </c>
      <c r="G61" s="37">
        <f>G44-G53-G57-G60</f>
        <v>48.337999999999994</v>
      </c>
      <c r="H61" s="56">
        <f>H44-H53-H57-H60</f>
        <v>13.201000000000002</v>
      </c>
      <c r="I61" s="2"/>
    </row>
    <row r="62">
      <c r="A62" s="1"/>
      <c r="B62" s="25" t="s">
        <v>276</v>
      </c>
      <c r="C62" s="23">
        <f>C61/C44</f>
        <v>0.15914664697660927</v>
      </c>
      <c r="D62" s="23">
        <f>D61/D44</f>
        <v>0.3836574752986995</v>
      </c>
      <c r="E62" s="23">
        <f>E61/E44</f>
        <v>0.36915987427414626</v>
      </c>
      <c r="F62" s="23">
        <f>F61/F44</f>
        <v>0.33432412167951997</v>
      </c>
      <c r="G62" s="23">
        <f>G61/G44</f>
        <v>0.3130618377762234</v>
      </c>
      <c r="H62" s="50">
        <f>H61/H44</f>
        <v>0.3525625617605428</v>
      </c>
      <c r="I62" s="2"/>
    </row>
    <row r="63">
      <c r="A63" s="1"/>
      <c r="B63" s="1" t="s">
        <v>144</v>
      </c>
      <c r="C63" s="41" t="s">
        <v>40</v>
      </c>
      <c r="D63" s="41">
        <f>IFERROR((D62-C62)*10000,"n/a")</f>
        <v>2245.108283220902</v>
      </c>
      <c r="E63" s="41">
        <f>IFERROR((E62-D62)*10000,"n/a")</f>
        <v>-144.9760102455322</v>
      </c>
      <c r="F63" s="41">
        <f>IFERROR((F62-E62)*10000,"n/a")</f>
        <v>-348.3575259462629</v>
      </c>
      <c r="G63" s="41" t="s">
        <v>40</v>
      </c>
      <c r="H63" s="51">
        <f>IFERROR((H62-F62)*10000,"n/a")</f>
        <v>182.38440081022821</v>
      </c>
      <c r="I63" s="2"/>
    </row>
    <row r="64">
      <c r="A64" s="1"/>
      <c r="B64" s="1" t="s">
        <v>145</v>
      </c>
      <c r="C64" s="41" t="s">
        <v>40</v>
      </c>
      <c r="D64" s="41" t="s">
        <v>40</v>
      </c>
      <c r="E64" s="41" t="s">
        <v>40</v>
      </c>
      <c r="F64" s="41" t="s">
        <v>40</v>
      </c>
      <c r="G64" s="41" t="s">
        <v>40</v>
      </c>
      <c r="H64" s="51">
        <f>IFERROR((H62-C62)*10000,"n/a")</f>
        <v>1934.1591478393352</v>
      </c>
      <c r="I64" s="2"/>
    </row>
    <row r="65">
      <c r="A65" s="1"/>
      <c r="B65" s="1" t="s">
        <v>93</v>
      </c>
      <c r="C65" s="3" t="s">
        <v>40</v>
      </c>
      <c r="D65" s="3">
        <f>IFERROR(D61-C61,"n/a")</f>
        <v>9.924000000000003</v>
      </c>
      <c r="E65" s="3">
        <f>IFERROR(E61-D61,"n/a")</f>
        <v>-2.100000000000003</v>
      </c>
      <c r="F65" s="3">
        <f>IFERROR(F61-E61,"n/a")</f>
        <v>-1.3740000000000077</v>
      </c>
      <c r="G65" s="3" t="s">
        <v>40</v>
      </c>
      <c r="H65" s="44">
        <f>IFERROR(H61-F61,"n/a")</f>
        <v>0.71600000000001</v>
      </c>
      <c r="I65" s="2"/>
    </row>
    <row r="66">
      <c r="A66" s="1"/>
      <c r="B66" s="1" t="s">
        <v>219</v>
      </c>
      <c r="C66" s="8">
        <v>6.035</v>
      </c>
      <c r="D66" s="8">
        <v>15.959</v>
      </c>
      <c r="E66" s="8">
        <v>13.859</v>
      </c>
      <c r="F66" s="3">
        <f>G75-E75</f>
        <v>12.485000000000007</v>
      </c>
      <c r="G66" s="3">
        <f>G75</f>
        <v>48.337</v>
      </c>
      <c r="H66" s="44"/>
      <c r="I66" s="2" t="s">
        <v>220</v>
      </c>
    </row>
    <row r="67">
      <c r="A67" s="1"/>
      <c r="B67" s="1" t="s">
        <v>221</v>
      </c>
      <c r="C67" s="3">
        <f>C61-C66</f>
        <v>0</v>
      </c>
      <c r="D67" s="3">
        <f>D61-D66</f>
        <v>0</v>
      </c>
      <c r="E67" s="3">
        <f>E61-E66</f>
        <v>0</v>
      </c>
      <c r="F67" s="3">
        <f>F61-F66</f>
        <v>0</v>
      </c>
      <c r="G67" s="3">
        <f>G61-G66</f>
        <v>0.000999999999990564</v>
      </c>
      <c r="H67" s="44"/>
      <c r="I67" s="2"/>
    </row>
    <row r="68">
      <c r="A68" s="1"/>
      <c r="B68" s="1" t="s">
        <v>277</v>
      </c>
      <c r="C68" s="8">
        <v>3.391</v>
      </c>
      <c r="D68" s="8">
        <v>3.347</v>
      </c>
      <c r="E68" s="8">
        <v>3.363</v>
      </c>
      <c r="F68" s="3">
        <f>G76-E76</f>
        <v>2.786999999999999</v>
      </c>
      <c r="G68" s="3">
        <f>SUM(C68:F68)</f>
        <v>12.887999999999998</v>
      </c>
      <c r="H68" s="44">
        <f>F68</f>
        <v>2.786999999999999</v>
      </c>
      <c r="I68" s="2" t="s">
        <v>278</v>
      </c>
    </row>
    <row r="69">
      <c r="A69" s="1"/>
      <c r="B69" s="1"/>
      <c r="C69" s="7"/>
      <c r="D69" s="7"/>
      <c r="E69" s="7"/>
      <c r="F69" s="7"/>
      <c r="G69" s="7"/>
      <c r="H69" s="42"/>
      <c r="I69" s="2"/>
    </row>
    <row r="70">
      <c r="A70" s="1"/>
      <c r="B70" s="14" t="s">
        <v>234</v>
      </c>
      <c r="C70" s="35"/>
      <c r="D70" s="35"/>
      <c r="E70" s="35"/>
      <c r="F70" s="35"/>
      <c r="G70" s="35"/>
      <c r="H70" s="36"/>
      <c r="I70" s="2"/>
    </row>
    <row r="71">
      <c r="A71" s="1"/>
      <c r="B71" s="1" t="s">
        <v>235</v>
      </c>
      <c r="C71" s="3"/>
      <c r="D71" s="3"/>
      <c r="E71" s="8">
        <v>117.059</v>
      </c>
      <c r="F71" s="3"/>
      <c r="G71" s="8">
        <v>154.403</v>
      </c>
      <c r="H71" s="44"/>
      <c r="I71" s="2" t="s">
        <v>279</v>
      </c>
    </row>
    <row r="72">
      <c r="A72" s="1"/>
      <c r="B72" s="1" t="s">
        <v>237</v>
      </c>
      <c r="C72" s="3"/>
      <c r="D72" s="3"/>
      <c r="E72" s="8">
        <v>78.554</v>
      </c>
      <c r="F72" s="3"/>
      <c r="G72" s="8">
        <v>102.98</v>
      </c>
      <c r="H72" s="44"/>
      <c r="I72" s="2" t="s">
        <v>279</v>
      </c>
    </row>
    <row r="73">
      <c r="A73" s="1"/>
      <c r="B73" s="1" t="s">
        <v>239</v>
      </c>
      <c r="C73" s="3"/>
      <c r="D73" s="3"/>
      <c r="E73" s="8">
        <v>2.138</v>
      </c>
      <c r="F73" s="3"/>
      <c r="G73" s="8">
        <v>2.516</v>
      </c>
      <c r="H73" s="44"/>
      <c r="I73" s="2" t="s">
        <v>279</v>
      </c>
    </row>
    <row r="74">
      <c r="A74" s="1"/>
      <c r="B74" s="1" t="s">
        <v>240</v>
      </c>
      <c r="C74" s="3"/>
      <c r="D74" s="3"/>
      <c r="E74" s="8">
        <v>0.515</v>
      </c>
      <c r="F74" s="3"/>
      <c r="G74" s="8">
        <v>0.57</v>
      </c>
      <c r="H74" s="44"/>
      <c r="I74" s="2" t="s">
        <v>279</v>
      </c>
    </row>
    <row r="75">
      <c r="A75" s="1"/>
      <c r="B75" s="1" t="s">
        <v>241</v>
      </c>
      <c r="C75" s="3"/>
      <c r="D75" s="3"/>
      <c r="E75" s="8">
        <v>35.852</v>
      </c>
      <c r="F75" s="3"/>
      <c r="G75" s="8">
        <v>48.337</v>
      </c>
      <c r="H75" s="44"/>
      <c r="I75" s="2" t="s">
        <v>279</v>
      </c>
    </row>
    <row r="76">
      <c r="A76" s="1"/>
      <c r="B76" s="1" t="s">
        <v>242</v>
      </c>
      <c r="C76" s="3"/>
      <c r="D76" s="3"/>
      <c r="E76" s="8">
        <v>10.101</v>
      </c>
      <c r="F76" s="3"/>
      <c r="G76" s="8">
        <v>12.888</v>
      </c>
      <c r="H76" s="44"/>
      <c r="I76" s="2" t="s">
        <v>279</v>
      </c>
    </row>
    <row r="77">
      <c r="A77" s="1"/>
      <c r="B77" s="1"/>
      <c r="C77" s="7"/>
      <c r="D77" s="7"/>
      <c r="E77" s="7"/>
      <c r="F77" s="7"/>
      <c r="G77" s="7"/>
      <c r="H77" s="42"/>
      <c r="I77" s="2"/>
    </row>
    <row r="78">
      <c r="A78" s="1"/>
      <c r="B78" s="1"/>
      <c r="C78" s="7"/>
      <c r="D78" s="7"/>
      <c r="E78" s="7"/>
      <c r="F78" s="7"/>
      <c r="G78" s="7"/>
      <c r="H78" s="42"/>
      <c r="I78" s="2"/>
    </row>
    <row r="79">
      <c r="A79" s="1"/>
      <c r="B79" s="1"/>
      <c r="C79" s="7"/>
      <c r="D79" s="7"/>
      <c r="E79" s="7"/>
      <c r="F79" s="7"/>
      <c r="G79" s="7"/>
      <c r="H79" s="42"/>
      <c r="I79" s="2"/>
    </row>
  </sheetData>
</worksheet>
</file>

<file path=xl/worksheets/sheet5.xml><?xml version="1.0" encoding="utf-8"?>
<worksheet xmlns="http://schemas.openxmlformats.org/spreadsheetml/2006/main" xmlns:r="http://schemas.openxmlformats.org/officeDocument/2006/relationships">
  <dimension ref="A1:I141"/>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280</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281</v>
      </c>
      <c r="C10" s="35"/>
      <c r="D10" s="35"/>
      <c r="E10" s="35"/>
      <c r="F10" s="35"/>
      <c r="G10" s="35"/>
      <c r="H10" s="36"/>
      <c r="I10" s="2"/>
    </row>
    <row r="11">
      <c r="A11" s="1"/>
      <c r="B11" s="1" t="s">
        <v>282</v>
      </c>
      <c r="C11" s="20">
        <f>'Revenue summary'!C11</f>
        <v>26.296</v>
      </c>
      <c r="D11" s="20">
        <f>'Revenue summary'!D11</f>
        <v>84.992</v>
      </c>
      <c r="E11" s="20">
        <f>'Revenue summary'!E11</f>
        <v>71.008</v>
      </c>
      <c r="F11" s="20">
        <f>'Revenue summary'!F11</f>
        <v>203.00799999999998</v>
      </c>
      <c r="G11" s="20">
        <f>'Revenue summary'!G11</f>
        <v>385.304</v>
      </c>
      <c r="H11" s="58">
        <f>'Revenue summary'!H11</f>
        <v>147.30189347826087</v>
      </c>
      <c r="I11" s="2"/>
    </row>
    <row r="12">
      <c r="A12" s="1"/>
      <c r="B12" s="1" t="s">
        <v>283</v>
      </c>
      <c r="C12" s="20">
        <f>'Revenue summary'!C20</f>
        <v>37.921</v>
      </c>
      <c r="D12" s="20">
        <f>'Revenue summary'!D20</f>
        <v>41.597</v>
      </c>
      <c r="E12" s="20">
        <f>'Revenue summary'!E20</f>
        <v>37.542</v>
      </c>
      <c r="F12" s="20">
        <f>'Revenue summary'!F20</f>
        <v>37.343999999999994</v>
      </c>
      <c r="G12" s="20">
        <f>'Revenue summary'!G20</f>
        <v>154.404</v>
      </c>
      <c r="H12" s="58">
        <f>'Revenue summary'!H20</f>
        <v>37.443</v>
      </c>
      <c r="I12" s="2"/>
    </row>
    <row r="13">
      <c r="A13" s="1"/>
      <c r="B13" s="1" t="s">
        <v>284</v>
      </c>
      <c r="C13" s="20">
        <f>'Revenue summary'!C36</f>
        <v>16.718</v>
      </c>
      <c r="D13" s="20">
        <f>'Revenue summary'!D36</f>
        <v>18.402</v>
      </c>
      <c r="E13" s="20">
        <f>'Revenue summary'!E36</f>
        <v>18.087</v>
      </c>
      <c r="F13" s="20">
        <f>'Revenue summary'!F36</f>
        <v>18.396</v>
      </c>
      <c r="G13" s="20">
        <f>'Revenue summary'!G36</f>
        <v>71.60300000000001</v>
      </c>
      <c r="H13" s="58">
        <f>'Revenue summary'!H36</f>
        <v>18.94788</v>
      </c>
      <c r="I13" s="2"/>
    </row>
    <row r="14">
      <c r="A14" s="1"/>
      <c r="B14" s="14" t="s">
        <v>99</v>
      </c>
      <c r="C14" s="37">
        <f>C120+C121</f>
        <v>80.934</v>
      </c>
      <c r="D14" s="37">
        <f>D120+D121</f>
        <v>144.99099999999999</v>
      </c>
      <c r="E14" s="37">
        <f>E120+E121</f>
        <v>126.637</v>
      </c>
      <c r="F14" s="37">
        <f>F120+F121</f>
        <v>258.748</v>
      </c>
      <c r="G14" s="37">
        <f>SUM(C14:F14)</f>
        <v>611.31</v>
      </c>
      <c r="H14" s="82">
        <f>'Revenue summary'!H45</f>
        <v>203.69277347826085</v>
      </c>
      <c r="I14" s="2" t="s">
        <v>285</v>
      </c>
    </row>
    <row r="15">
      <c r="A15" s="1"/>
      <c r="B15" s="1" t="s">
        <v>74</v>
      </c>
      <c r="C15" s="20">
        <f>'Revenue summary'!C46</f>
        <v>60.70399999999999</v>
      </c>
      <c r="D15" s="20">
        <f>'Revenue summary'!D46</f>
        <v>63.867999999999995</v>
      </c>
      <c r="E15" s="20">
        <f>'Revenue summary'!E46</f>
        <v>52.92100000000001</v>
      </c>
      <c r="F15" s="20">
        <f>'Revenue summary'!F46</f>
        <v>51.076</v>
      </c>
      <c r="G15" s="20">
        <f>'Revenue summary'!G46</f>
        <v>228.56900000000002</v>
      </c>
      <c r="H15" s="58">
        <f>'Revenue summary'!H46</f>
        <v>80.935</v>
      </c>
      <c r="I15" s="2" t="s">
        <v>286</v>
      </c>
    </row>
    <row r="16">
      <c r="A16" s="1"/>
      <c r="B16" s="25" t="s">
        <v>75</v>
      </c>
      <c r="C16" s="23">
        <f>IF(C15=0,"n/m",C14/C15-1)</f>
        <v>0.3332564575645758</v>
      </c>
      <c r="D16" s="23">
        <f>IF(D15=0,"n/m",D14/D15-1)</f>
        <v>1.2701665935992983</v>
      </c>
      <c r="E16" s="23">
        <f>IF(E15=0,"n/m",E14/E15-1)</f>
        <v>1.3929441998450516</v>
      </c>
      <c r="F16" s="23">
        <f>IF(F15=0,"n/m",F14/F15-1)</f>
        <v>4.065940950740074</v>
      </c>
      <c r="G16" s="23">
        <f>IF(G15=0,"n/m",G14/G15-1)</f>
        <v>1.674509666665208</v>
      </c>
      <c r="H16" s="50">
        <f>IF(H15=0,"n/m",H14/H15-1)</f>
        <v>1.5167452088498283</v>
      </c>
      <c r="I16" s="2"/>
    </row>
    <row r="17">
      <c r="A17" s="1"/>
      <c r="B17" s="25" t="s">
        <v>76</v>
      </c>
      <c r="C17" s="23">
        <f>IF(F15=0,"n/m",C14/F15-1)</f>
        <v>0.58457984180437</v>
      </c>
      <c r="D17" s="23">
        <f>IFERROR(IF(C14=0,"n/m",D14/C14-1),"n/a")</f>
        <v>0.7914720636568067</v>
      </c>
      <c r="E17" s="23">
        <f>IFERROR(IF(D14=0,"n/m",E14/D14-1),"n/a")</f>
        <v>-0.12658716747936072</v>
      </c>
      <c r="F17" s="23">
        <f>IFERROR(IF(E14=0,"n/m",F14/E14-1),"n/a")</f>
        <v>1.0432259134376207</v>
      </c>
      <c r="G17" s="23" t="s">
        <v>40</v>
      </c>
      <c r="H17" s="50">
        <f>IFERROR(IF(F14=0,"n/m",H14/F14-1),"n/a")</f>
        <v>-0.2127754669475287</v>
      </c>
      <c r="I17" s="2"/>
    </row>
    <row r="18">
      <c r="A18" s="1"/>
      <c r="B18" s="1" t="s">
        <v>287</v>
      </c>
      <c r="C18" s="3" t="s">
        <v>40</v>
      </c>
      <c r="D18" s="3" t="s">
        <v>40</v>
      </c>
      <c r="E18" s="3" t="s">
        <v>40</v>
      </c>
      <c r="F18" s="8">
        <v>193.121</v>
      </c>
      <c r="G18" s="8">
        <v>396.858</v>
      </c>
      <c r="H18" s="58">
        <f>'Segment - HPC Hosting'!H120+'Segment - DC Hosting'!H53+H98</f>
        <v>113.6317693396959</v>
      </c>
      <c r="I18" s="2" t="s">
        <v>288</v>
      </c>
    </row>
    <row r="19">
      <c r="A19" s="1"/>
      <c r="B19" s="1" t="s">
        <v>289</v>
      </c>
      <c r="C19" s="3" t="s">
        <v>40</v>
      </c>
      <c r="D19" s="3" t="s">
        <v>40</v>
      </c>
      <c r="E19" s="3" t="s">
        <v>40</v>
      </c>
      <c r="F19" s="20">
        <f>'Segment - HPC Hosting'!F128</f>
        <v>25.11</v>
      </c>
      <c r="G19" s="8">
        <v>56.771</v>
      </c>
      <c r="H19" s="58">
        <f>'Segment - HPC Hosting'!H128</f>
        <v>37.63586956521739</v>
      </c>
      <c r="I19" s="2" t="s">
        <v>290</v>
      </c>
    </row>
    <row r="20">
      <c r="A20" s="1"/>
      <c r="B20" s="14" t="s">
        <v>271</v>
      </c>
      <c r="C20" s="37">
        <f>C122+C123</f>
        <v>58.971000000000004</v>
      </c>
      <c r="D20" s="37">
        <f>D122+D123</f>
        <v>103.597</v>
      </c>
      <c r="E20" s="47">
        <v>72.832</v>
      </c>
      <c r="F20" s="37">
        <f>F18+F19</f>
        <v>218.231</v>
      </c>
      <c r="G20" s="37">
        <f>SUM(C20:F20)</f>
        <v>453.631</v>
      </c>
      <c r="H20" s="56">
        <f>H18+H19</f>
        <v>151.26763890491327</v>
      </c>
      <c r="I20" s="2" t="s">
        <v>291</v>
      </c>
    </row>
    <row r="21">
      <c r="A21" s="1"/>
      <c r="B21" s="14" t="s">
        <v>292</v>
      </c>
      <c r="C21" s="37">
        <f>C14-C20</f>
        <v>21.962999999999994</v>
      </c>
      <c r="D21" s="37">
        <f>D14-D20</f>
        <v>41.39399999999999</v>
      </c>
      <c r="E21" s="37">
        <f>E14-E20</f>
        <v>53.80500000000001</v>
      </c>
      <c r="F21" s="37">
        <f>F14-F20</f>
        <v>40.516999999999996</v>
      </c>
      <c r="G21" s="37">
        <f>G14-G20</f>
        <v>157.67899999999997</v>
      </c>
      <c r="H21" s="56">
        <f>H14-H20</f>
        <v>52.42513457334758</v>
      </c>
      <c r="I21" s="2"/>
    </row>
    <row r="22">
      <c r="A22" s="1"/>
      <c r="B22" s="25" t="s">
        <v>272</v>
      </c>
      <c r="C22" s="23">
        <f>C21/C14</f>
        <v>0.2713692638446141</v>
      </c>
      <c r="D22" s="23">
        <f>D21/D14</f>
        <v>0.2854935823602844</v>
      </c>
      <c r="E22" s="23">
        <f>E21/E14</f>
        <v>0.4248758261803423</v>
      </c>
      <c r="F22" s="23">
        <f>F21/F14</f>
        <v>0.1565886499605794</v>
      </c>
      <c r="G22" s="23">
        <f>G21/G14</f>
        <v>0.25793623529796667</v>
      </c>
      <c r="H22" s="50">
        <f>H21/H14</f>
        <v>0.25737356155613766</v>
      </c>
      <c r="I22" s="2"/>
    </row>
    <row r="23">
      <c r="A23" s="1"/>
      <c r="B23" s="1" t="s">
        <v>144</v>
      </c>
      <c r="C23" s="41" t="s">
        <v>40</v>
      </c>
      <c r="D23" s="41">
        <f>IFERROR((D22-C22)*10000,"n/a")</f>
        <v>141.24318515670308</v>
      </c>
      <c r="E23" s="41">
        <f>IFERROR((E22-D22)*10000,"n/a")</f>
        <v>1393.8224382005792</v>
      </c>
      <c r="F23" s="41">
        <f>IFERROR((F22-E22)*10000,"n/a")</f>
        <v>-2682.8717621976293</v>
      </c>
      <c r="G23" s="41" t="s">
        <v>40</v>
      </c>
      <c r="H23" s="51">
        <f>IFERROR((H22-F22)*10000,"n/a")</f>
        <v>1007.8491159555828</v>
      </c>
      <c r="I23" s="2"/>
    </row>
    <row r="24">
      <c r="A24" s="1"/>
      <c r="B24" s="1" t="s">
        <v>145</v>
      </c>
      <c r="C24" s="41" t="s">
        <v>40</v>
      </c>
      <c r="D24" s="41" t="s">
        <v>40</v>
      </c>
      <c r="E24" s="41" t="s">
        <v>40</v>
      </c>
      <c r="F24" s="41" t="s">
        <v>40</v>
      </c>
      <c r="G24" s="41" t="s">
        <v>40</v>
      </c>
      <c r="H24" s="51">
        <f>IFERROR((H22-C22)*10000,"n/a")</f>
        <v>-139.9570228847641</v>
      </c>
      <c r="I24" s="2"/>
    </row>
    <row r="25">
      <c r="A25" s="1"/>
      <c r="B25" s="1" t="s">
        <v>293</v>
      </c>
      <c r="C25" s="3">
        <f>C124+C125</f>
        <v>29.482</v>
      </c>
      <c r="D25" s="3">
        <f>D124+D125</f>
        <v>57.609</v>
      </c>
      <c r="E25" s="8">
        <v>79.723</v>
      </c>
      <c r="F25" s="8">
        <v>165.282</v>
      </c>
      <c r="G25" s="3">
        <f>SUM(C25:F25)</f>
        <v>332.096</v>
      </c>
      <c r="H25" s="58">
        <f>'Segment - HPC Hosting'!H133+'Segment - DC Hosting'!H57+H100+-H95+H64+H65+H66+H67+H69+H70</f>
        <v>86.56038</v>
      </c>
      <c r="I25" s="2" t="s">
        <v>294</v>
      </c>
    </row>
    <row r="26">
      <c r="A26" s="1"/>
      <c r="B26" s="25" t="s">
        <v>295</v>
      </c>
      <c r="C26" s="23">
        <f>C25/C14</f>
        <v>0.36427212296439077</v>
      </c>
      <c r="D26" s="23">
        <f>D25/D14</f>
        <v>0.397328110020622</v>
      </c>
      <c r="E26" s="23">
        <f>E25/E14</f>
        <v>0.6295395500525123</v>
      </c>
      <c r="F26" s="23">
        <f>F25/F14</f>
        <v>0.6387759518914157</v>
      </c>
      <c r="G26" s="23">
        <f>G25/G14</f>
        <v>0.5432530140190739</v>
      </c>
      <c r="H26" s="50">
        <f>H25/H14</f>
        <v>0.4249555765867078</v>
      </c>
      <c r="I26" s="2"/>
    </row>
    <row r="27">
      <c r="A27" s="1"/>
      <c r="B27" s="1" t="s">
        <v>144</v>
      </c>
      <c r="C27" s="41" t="s">
        <v>40</v>
      </c>
      <c r="D27" s="41">
        <f>IFERROR((D26-C26)*10000,"n/a")</f>
        <v>330.5598705623125</v>
      </c>
      <c r="E27" s="41">
        <f>IFERROR((E26-D26)*10000,"n/a")</f>
        <v>2322.1144003189024</v>
      </c>
      <c r="F27" s="41">
        <f>IFERROR((F26-E26)*10000,"n/a")</f>
        <v>92.36401838903396</v>
      </c>
      <c r="G27" s="41" t="s">
        <v>40</v>
      </c>
      <c r="H27" s="51">
        <f>IFERROR((H26-F26)*10000,"n/a")</f>
        <v>-2138.203753047079</v>
      </c>
      <c r="I27" s="2"/>
    </row>
    <row r="28">
      <c r="A28" s="1"/>
      <c r="B28" s="1" t="s">
        <v>145</v>
      </c>
      <c r="C28" s="41" t="s">
        <v>40</v>
      </c>
      <c r="D28" s="41" t="s">
        <v>40</v>
      </c>
      <c r="E28" s="41" t="s">
        <v>40</v>
      </c>
      <c r="F28" s="41" t="s">
        <v>40</v>
      </c>
      <c r="G28" s="41" t="s">
        <v>40</v>
      </c>
      <c r="H28" s="51">
        <f>IFERROR((H26-C26)*10000,"n/a")</f>
        <v>606.8345362231703</v>
      </c>
      <c r="I28" s="2"/>
    </row>
    <row r="29">
      <c r="A29" s="1"/>
      <c r="B29" s="1" t="s">
        <v>296</v>
      </c>
      <c r="C29" s="8">
        <v>0</v>
      </c>
      <c r="D29" s="8">
        <v>0</v>
      </c>
      <c r="E29" s="8">
        <v>59.65</v>
      </c>
      <c r="F29" s="8">
        <v>0</v>
      </c>
      <c r="G29" s="3">
        <f>SUM(C29:F29)</f>
        <v>59.65</v>
      </c>
      <c r="H29" s="61">
        <v>0</v>
      </c>
      <c r="I29" s="2" t="s">
        <v>297</v>
      </c>
    </row>
    <row r="30">
      <c r="A30" s="1"/>
      <c r="B30" s="1" t="s">
        <v>274</v>
      </c>
      <c r="C30" s="3">
        <f>C126+C127</f>
        <v>2.243</v>
      </c>
      <c r="D30" s="3">
        <f>D126+D127</f>
        <v>0</v>
      </c>
      <c r="E30" s="8">
        <v>0.099</v>
      </c>
      <c r="F30" s="8">
        <v>0.055</v>
      </c>
      <c r="G30" s="3">
        <f>SUM(C30:F30)</f>
        <v>2.397</v>
      </c>
      <c r="H30" s="58">
        <f>'Segment - HPC Hosting'!H136+'Segment - DC Hosting'!H60</f>
        <v>0</v>
      </c>
      <c r="I30" s="2"/>
    </row>
    <row r="31">
      <c r="A31" s="1"/>
      <c r="B31" s="14" t="s">
        <v>298</v>
      </c>
      <c r="C31" s="37">
        <f>C20+C25+C29+C30</f>
        <v>90.696</v>
      </c>
      <c r="D31" s="37">
        <f>D20+D25+D29+D30</f>
        <v>161.206</v>
      </c>
      <c r="E31" s="37">
        <f>E20+E25+E29+E30</f>
        <v>212.304</v>
      </c>
      <c r="F31" s="37">
        <f>F20+F25+F29+F30</f>
        <v>383.56800000000004</v>
      </c>
      <c r="G31" s="37">
        <f>G20+G25+G29+G30</f>
        <v>847.774</v>
      </c>
      <c r="H31" s="56">
        <f>H20+H25+H29+H30</f>
        <v>237.82801890491328</v>
      </c>
      <c r="I31" s="2"/>
    </row>
    <row r="32">
      <c r="A32" s="1"/>
      <c r="B32" s="14" t="s">
        <v>299</v>
      </c>
      <c r="C32" s="37">
        <f>C14-C31</f>
        <v>-9.762</v>
      </c>
      <c r="D32" s="37">
        <f>D14-D31</f>
        <v>-16.215000000000003</v>
      </c>
      <c r="E32" s="37">
        <f>E14-E31</f>
        <v>-85.667</v>
      </c>
      <c r="F32" s="37">
        <f>F14-F31</f>
        <v>-124.82000000000005</v>
      </c>
      <c r="G32" s="37">
        <f>G14-G31</f>
        <v>-236.46400000000006</v>
      </c>
      <c r="H32" s="56">
        <f>H14-H31</f>
        <v>-34.13524542665243</v>
      </c>
      <c r="I32" s="2"/>
    </row>
    <row r="33">
      <c r="A33" s="1"/>
      <c r="B33" s="25" t="s">
        <v>300</v>
      </c>
      <c r="C33" s="23">
        <f>C32/C14</f>
        <v>-0.12061679887315592</v>
      </c>
      <c r="D33" s="23">
        <f>D32/D14</f>
        <v>-0.11183452766033758</v>
      </c>
      <c r="E33" s="23">
        <f>E32/E14</f>
        <v>-0.676476859053831</v>
      </c>
      <c r="F33" s="23">
        <f>F32/F14</f>
        <v>-0.4823998639603014</v>
      </c>
      <c r="G33" s="23">
        <f>G32/G14</f>
        <v>-0.38681520014395326</v>
      </c>
      <c r="H33" s="50">
        <f>H32/H14</f>
        <v>-0.16758201503057016</v>
      </c>
      <c r="I33" s="2"/>
    </row>
    <row r="34">
      <c r="A34" s="1"/>
      <c r="B34" s="1" t="s">
        <v>144</v>
      </c>
      <c r="C34" s="41" t="s">
        <v>40</v>
      </c>
      <c r="D34" s="41">
        <f>IFERROR((D33-C33)*10000,"n/a")</f>
        <v>87.82271212818341</v>
      </c>
      <c r="E34" s="41">
        <f>IFERROR((E33-D33)*10000,"n/a")</f>
        <v>-5646.423313934934</v>
      </c>
      <c r="F34" s="41">
        <f>IFERROR((F33-E33)*10000,"n/a")</f>
        <v>1940.7699509352965</v>
      </c>
      <c r="G34" s="41" t="s">
        <v>40</v>
      </c>
      <c r="H34" s="51">
        <f>IFERROR((H33-F33)*10000,"n/a")</f>
        <v>3148.178489297312</v>
      </c>
      <c r="I34" s="2"/>
    </row>
    <row r="35">
      <c r="A35" s="1"/>
      <c r="B35" s="1" t="s">
        <v>145</v>
      </c>
      <c r="C35" s="41" t="s">
        <v>40</v>
      </c>
      <c r="D35" s="41" t="s">
        <v>40</v>
      </c>
      <c r="E35" s="41" t="s">
        <v>40</v>
      </c>
      <c r="F35" s="41" t="s">
        <v>40</v>
      </c>
      <c r="G35" s="41" t="s">
        <v>40</v>
      </c>
      <c r="H35" s="51">
        <f>IFERROR((H33-C33)*10000,"n/a")</f>
        <v>-469.6521615741424</v>
      </c>
      <c r="I35" s="2"/>
    </row>
    <row r="36">
      <c r="A36" s="1"/>
      <c r="B36" s="1" t="s">
        <v>301</v>
      </c>
      <c r="C36" s="3">
        <f>C128+C129</f>
        <v>7.156000000000001</v>
      </c>
      <c r="D36" s="3">
        <f>D128+D129</f>
        <v>14.113</v>
      </c>
      <c r="E36" s="8">
        <v>-2.387</v>
      </c>
      <c r="F36" s="8">
        <v>10.633</v>
      </c>
      <c r="G36" s="3">
        <f>SUM(C36:F36)</f>
        <v>29.515</v>
      </c>
      <c r="H36" s="44">
        <f>H115+H63</f>
        <v>18.676972602739728</v>
      </c>
      <c r="I36" s="2" t="s">
        <v>302</v>
      </c>
    </row>
    <row r="37">
      <c r="A37" s="1"/>
      <c r="B37" s="1" t="s">
        <v>303</v>
      </c>
      <c r="C37" s="8">
        <v>0</v>
      </c>
      <c r="D37" s="8">
        <v>-13.126</v>
      </c>
      <c r="E37" s="8">
        <v>-9.417</v>
      </c>
      <c r="F37" s="8">
        <v>-53.276</v>
      </c>
      <c r="G37" s="3">
        <f>SUM(C37:F37)</f>
        <v>-75.819</v>
      </c>
      <c r="H37" s="61">
        <v>0</v>
      </c>
      <c r="I37" s="2" t="s">
        <v>304</v>
      </c>
    </row>
    <row r="38">
      <c r="A38" s="1"/>
      <c r="B38" s="1" t="s">
        <v>305</v>
      </c>
      <c r="C38" s="8">
        <v>0</v>
      </c>
      <c r="D38" s="8">
        <v>-2.767</v>
      </c>
      <c r="E38" s="8">
        <v>-3.305</v>
      </c>
      <c r="F38" s="8">
        <v>-4.768</v>
      </c>
      <c r="G38" s="3">
        <f>SUM(C38:F38)</f>
        <v>-10.84</v>
      </c>
      <c r="H38" s="61">
        <v>0</v>
      </c>
      <c r="I38" s="2" t="s">
        <v>306</v>
      </c>
    </row>
    <row r="39">
      <c r="A39" s="1"/>
      <c r="B39" s="1" t="s">
        <v>307</v>
      </c>
      <c r="C39" s="8">
        <v>0</v>
      </c>
      <c r="D39" s="8">
        <v>0</v>
      </c>
      <c r="E39" s="8">
        <v>0</v>
      </c>
      <c r="F39" s="8">
        <v>2.212</v>
      </c>
      <c r="G39" s="3">
        <f>SUM(C39:F39)</f>
        <v>2.212</v>
      </c>
      <c r="H39" s="61">
        <v>0</v>
      </c>
      <c r="I39" s="2" t="s">
        <v>225</v>
      </c>
    </row>
    <row r="40">
      <c r="A40" s="1"/>
      <c r="B40" s="14" t="s">
        <v>308</v>
      </c>
      <c r="C40" s="37">
        <f>C32-C36-C37-C38-C39</f>
        <v>-16.918</v>
      </c>
      <c r="D40" s="37">
        <f>D32-D36-D37-D38-D39</f>
        <v>-14.435000000000006</v>
      </c>
      <c r="E40" s="37">
        <f>E32-E36-E37-E38-E39</f>
        <v>-70.55799999999999</v>
      </c>
      <c r="F40" s="37">
        <f>F32-F36-F37-F38-F39</f>
        <v>-79.62100000000005</v>
      </c>
      <c r="G40" s="37">
        <f>G32-G36-G37-G38-G39</f>
        <v>-181.532</v>
      </c>
      <c r="H40" s="56">
        <f>H32-H36-H37-H38-H39</f>
        <v>-52.812218029392156</v>
      </c>
      <c r="I40" s="2"/>
    </row>
    <row r="41">
      <c r="A41" s="1"/>
      <c r="B41" s="1" t="s">
        <v>309</v>
      </c>
      <c r="C41" s="8">
        <v>0.008</v>
      </c>
      <c r="D41" s="8">
        <v>0.015</v>
      </c>
      <c r="E41" s="8">
        <v>-0.002</v>
      </c>
      <c r="F41" s="8">
        <v>1.766</v>
      </c>
      <c r="G41" s="3">
        <f>SUM(C41:F41)</f>
        <v>1.787</v>
      </c>
      <c r="H41" s="61">
        <v>0.3</v>
      </c>
      <c r="I41" s="2" t="s">
        <v>310</v>
      </c>
    </row>
    <row r="42">
      <c r="A42" s="1"/>
      <c r="B42" s="14" t="s">
        <v>311</v>
      </c>
      <c r="C42" s="37">
        <f>C40-C41</f>
        <v>-16.926</v>
      </c>
      <c r="D42" s="37">
        <f>D40-D41</f>
        <v>-14.450000000000006</v>
      </c>
      <c r="E42" s="37">
        <f>E40-E41</f>
        <v>-70.556</v>
      </c>
      <c r="F42" s="37">
        <f>F40-F41</f>
        <v>-81.38700000000006</v>
      </c>
      <c r="G42" s="37">
        <f>G40-G41</f>
        <v>-183.31900000000002</v>
      </c>
      <c r="H42" s="56">
        <f>H40-H41</f>
        <v>-53.11221802939215</v>
      </c>
      <c r="I42" s="2"/>
    </row>
    <row r="43">
      <c r="A43" s="1"/>
      <c r="B43" s="1" t="s">
        <v>312</v>
      </c>
      <c r="C43" s="8">
        <v>0</v>
      </c>
      <c r="D43" s="8">
        <v>0</v>
      </c>
      <c r="E43" s="8">
        <v>0</v>
      </c>
      <c r="F43" s="8">
        <v>-1.02</v>
      </c>
      <c r="G43" s="3">
        <f>SUM(C43:F43)</f>
        <v>-1.02</v>
      </c>
      <c r="H43" s="44">
        <f>F43</f>
        <v>-1.02</v>
      </c>
      <c r="I43" s="2" t="s">
        <v>313</v>
      </c>
    </row>
    <row r="44">
      <c r="A44" s="1"/>
      <c r="B44" s="14" t="s">
        <v>314</v>
      </c>
      <c r="C44" s="37">
        <f>C42+C43</f>
        <v>-16.926</v>
      </c>
      <c r="D44" s="37">
        <f>D42+D43</f>
        <v>-14.450000000000006</v>
      </c>
      <c r="E44" s="37">
        <f>E42+E43</f>
        <v>-70.556</v>
      </c>
      <c r="F44" s="37">
        <f>F42+F43</f>
        <v>-82.40700000000005</v>
      </c>
      <c r="G44" s="37">
        <f>G42+G43</f>
        <v>-184.33900000000003</v>
      </c>
      <c r="H44" s="56">
        <f>H42+H43</f>
        <v>-54.132218029392156</v>
      </c>
      <c r="I44" s="2"/>
    </row>
    <row r="45">
      <c r="A45" s="1"/>
      <c r="B45" s="1" t="s">
        <v>315</v>
      </c>
      <c r="C45" s="8">
        <v>0</v>
      </c>
      <c r="D45" s="8">
        <v>-3.061</v>
      </c>
      <c r="E45" s="8">
        <v>-28.747</v>
      </c>
      <c r="F45" s="8">
        <v>-27.615</v>
      </c>
      <c r="G45" s="3">
        <f>SUM(C45:F45)</f>
        <v>-59.423</v>
      </c>
      <c r="H45" s="58">
        <f>-'Balance Sheet'!F48*H116*H$8/365</f>
        <v>-37.524420181789885</v>
      </c>
      <c r="I45" s="2" t="s">
        <v>316</v>
      </c>
    </row>
    <row r="46">
      <c r="A46" s="1"/>
      <c r="B46" s="1" t="s">
        <v>317</v>
      </c>
      <c r="C46" s="8">
        <v>-1.576</v>
      </c>
      <c r="D46" s="8">
        <v>-1.571</v>
      </c>
      <c r="E46" s="8">
        <v>-1.558</v>
      </c>
      <c r="F46" s="8">
        <v>-1.558</v>
      </c>
      <c r="G46" s="3">
        <f>SUM(C46:F46)</f>
        <v>-6.263</v>
      </c>
      <c r="H46" s="44">
        <f>F46</f>
        <v>-1.558</v>
      </c>
      <c r="I46" s="2" t="s">
        <v>318</v>
      </c>
    </row>
    <row r="47">
      <c r="A47" s="1"/>
      <c r="B47" s="14" t="s">
        <v>319</v>
      </c>
      <c r="C47" s="37">
        <f>C44+C45+C46</f>
        <v>-18.502</v>
      </c>
      <c r="D47" s="37">
        <f>D44+D45+D46</f>
        <v>-19.082000000000008</v>
      </c>
      <c r="E47" s="37">
        <f>E44+E45+E46</f>
        <v>-100.861</v>
      </c>
      <c r="F47" s="37">
        <f>F44+F45+F46</f>
        <v>-111.58000000000006</v>
      </c>
      <c r="G47" s="37">
        <f>G44+G45+G46</f>
        <v>-250.02500000000003</v>
      </c>
      <c r="H47" s="56">
        <f>H44+H45+H46</f>
        <v>-93.21463821118205</v>
      </c>
      <c r="I47" s="2"/>
    </row>
    <row r="48">
      <c r="A48" s="1"/>
      <c r="B48" s="1" t="s">
        <v>320</v>
      </c>
      <c r="C48" s="3">
        <f>C47-C43</f>
        <v>-18.502</v>
      </c>
      <c r="D48" s="3">
        <f>D47-D43</f>
        <v>-19.082000000000008</v>
      </c>
      <c r="E48" s="3">
        <f>E47-E43</f>
        <v>-100.861</v>
      </c>
      <c r="F48" s="3">
        <f>F47-F43</f>
        <v>-110.56000000000006</v>
      </c>
      <c r="G48" s="3">
        <f>G47-G43</f>
        <v>-249.00500000000002</v>
      </c>
      <c r="H48" s="44">
        <f>H47-H43</f>
        <v>-92.19463821118205</v>
      </c>
      <c r="I48" s="2"/>
    </row>
    <row r="49">
      <c r="A49" s="1"/>
      <c r="B49" s="25" t="s">
        <v>321</v>
      </c>
      <c r="C49" s="23">
        <f>C47/C14</f>
        <v>-0.22860602466207033</v>
      </c>
      <c r="D49" s="23">
        <f>D47/D14</f>
        <v>-0.13160816878289003</v>
      </c>
      <c r="E49" s="23">
        <f>E47/E14</f>
        <v>-0.796457591383245</v>
      </c>
      <c r="F49" s="23">
        <f>F47/F14</f>
        <v>-0.43123038632182686</v>
      </c>
      <c r="G49" s="23">
        <f>G47/G14</f>
        <v>-0.4089987076933144</v>
      </c>
      <c r="H49" s="50">
        <f>H47/H14</f>
        <v>-0.4576236879661831</v>
      </c>
      <c r="I49" s="2"/>
    </row>
    <row r="50">
      <c r="A50" s="1"/>
      <c r="B50" s="1" t="s">
        <v>144</v>
      </c>
      <c r="C50" s="41" t="s">
        <v>40</v>
      </c>
      <c r="D50" s="41">
        <f>IFERROR((D49-C49)*10000,"n/a")</f>
        <v>969.978558791803</v>
      </c>
      <c r="E50" s="41">
        <f>IFERROR((E49-D49)*10000,"n/a")</f>
        <v>-6648.49422600355</v>
      </c>
      <c r="F50" s="41">
        <f>IFERROR((F49-E49)*10000,"n/a")</f>
        <v>3652.2720506141814</v>
      </c>
      <c r="G50" s="41" t="s">
        <v>40</v>
      </c>
      <c r="H50" s="51">
        <f>IFERROR((H49-F49)*10000,"n/a")</f>
        <v>-263.93301644356217</v>
      </c>
      <c r="I50" s="2"/>
    </row>
    <row r="51">
      <c r="A51" s="1"/>
      <c r="B51" s="1" t="s">
        <v>145</v>
      </c>
      <c r="C51" s="41" t="s">
        <v>40</v>
      </c>
      <c r="D51" s="41" t="s">
        <v>40</v>
      </c>
      <c r="E51" s="41" t="s">
        <v>40</v>
      </c>
      <c r="F51" s="41" t="s">
        <v>40</v>
      </c>
      <c r="G51" s="41" t="s">
        <v>40</v>
      </c>
      <c r="H51" s="51">
        <f>IFERROR((H49-C49)*10000,"n/a")</f>
        <v>-2290.1766330411274</v>
      </c>
      <c r="I51" s="2"/>
    </row>
    <row r="52">
      <c r="A52" s="1"/>
      <c r="B52" s="1" t="s">
        <v>322</v>
      </c>
      <c r="C52" s="20">
        <f>'Share Count'!C17</f>
        <v>255.893</v>
      </c>
      <c r="D52" s="20">
        <f>'Share Count'!D17</f>
        <v>277.424</v>
      </c>
      <c r="E52" s="20">
        <f>'Share Count'!E17</f>
        <v>281.983</v>
      </c>
      <c r="F52" s="20">
        <f>'Share Count'!F17</f>
        <v>285.652</v>
      </c>
      <c r="G52" s="20">
        <f>'Share Count'!G17</f>
        <v>275.195</v>
      </c>
      <c r="H52" s="58">
        <f>'Share Count'!H17</f>
        <v>289.778</v>
      </c>
      <c r="I52" s="2" t="s">
        <v>323</v>
      </c>
    </row>
    <row r="53">
      <c r="A53" s="1"/>
      <c r="B53" s="1" t="s">
        <v>324</v>
      </c>
      <c r="C53" s="20">
        <f>'Share Count'!C33</f>
        <v>255.893</v>
      </c>
      <c r="D53" s="20">
        <f>'Share Count'!D33</f>
        <v>277.424</v>
      </c>
      <c r="E53" s="20">
        <f>'Share Count'!E33</f>
        <v>382.306</v>
      </c>
      <c r="F53" s="20">
        <f>'Share Count'!F33</f>
        <v>330.239</v>
      </c>
      <c r="G53" s="20">
        <f>'Share Count'!G33</f>
        <v>318.968</v>
      </c>
      <c r="H53" s="58">
        <f>'Share Count'!H33</f>
        <v>331.778</v>
      </c>
      <c r="I53" s="2" t="s">
        <v>325</v>
      </c>
    </row>
    <row r="54">
      <c r="A54" s="1"/>
      <c r="B54" s="14" t="s">
        <v>326</v>
      </c>
      <c r="C54" s="65">
        <f>C48/C52</f>
        <v>-0.07230365816962558</v>
      </c>
      <c r="D54" s="65">
        <f>D48/D52</f>
        <v>-0.06878280177634238</v>
      </c>
      <c r="E54" s="65">
        <f>E48/E52</f>
        <v>-0.35768468311919516</v>
      </c>
      <c r="F54" s="65">
        <f>F48/F52</f>
        <v>-0.38704437567389716</v>
      </c>
      <c r="G54" s="65">
        <f>G48/G52</f>
        <v>-0.904831119751449</v>
      </c>
      <c r="H54" s="77">
        <f>H48/H52</f>
        <v>-0.31815609953544455</v>
      </c>
      <c r="I54" s="2"/>
    </row>
    <row r="55">
      <c r="A55" s="1"/>
      <c r="B55" s="1" t="s">
        <v>327</v>
      </c>
      <c r="C55" s="32">
        <f>C47/C52</f>
        <v>-0.07230365816962558</v>
      </c>
      <c r="D55" s="32">
        <f>D47/D52</f>
        <v>-0.06878280177634238</v>
      </c>
      <c r="E55" s="32">
        <f>E47/E52</f>
        <v>-0.35768468311919516</v>
      </c>
      <c r="F55" s="32">
        <f>F47/F52</f>
        <v>-0.3906151541035948</v>
      </c>
      <c r="G55" s="32">
        <f>G47/G52</f>
        <v>-0.9085375824415416</v>
      </c>
      <c r="H55" s="66">
        <f>H47/H52</f>
        <v>-0.3216760354864139</v>
      </c>
      <c r="I55" s="2"/>
    </row>
    <row r="56">
      <c r="A56" s="1"/>
      <c r="B56" s="1" t="s">
        <v>328</v>
      </c>
      <c r="C56" s="21">
        <v>-0.07</v>
      </c>
      <c r="D56" s="21">
        <v>-0.07</v>
      </c>
      <c r="E56" s="21">
        <v>-0.36</v>
      </c>
      <c r="F56" s="21">
        <v>-0.39</v>
      </c>
      <c r="G56" s="21">
        <v>-0.91</v>
      </c>
      <c r="H56" s="66"/>
      <c r="I56" s="2" t="s">
        <v>329</v>
      </c>
    </row>
    <row r="57">
      <c r="A57" s="1"/>
      <c r="B57" s="1" t="s">
        <v>330</v>
      </c>
      <c r="C57" s="26">
        <f>Inputs!G14</f>
        <v>-0.07</v>
      </c>
      <c r="D57" s="26">
        <f>Inputs!G15</f>
        <v>-0.07</v>
      </c>
      <c r="E57" s="26">
        <f>Inputs!G16</f>
        <v>-0.36</v>
      </c>
      <c r="F57" s="26">
        <f>Inputs!G17</f>
        <v>-0.39</v>
      </c>
      <c r="G57" s="32"/>
      <c r="H57" s="66"/>
      <c r="I57" s="2" t="s">
        <v>331</v>
      </c>
    </row>
    <row r="58">
      <c r="A58" s="1"/>
      <c r="B58" s="1" t="s">
        <v>332</v>
      </c>
      <c r="C58" s="32">
        <f>ROUND(C55,2)-C56</f>
        <v>0</v>
      </c>
      <c r="D58" s="32">
        <f>ROUND(D55,2)-D56</f>
        <v>0</v>
      </c>
      <c r="E58" s="32">
        <f>ROUND(E55,2)-E56</f>
        <v>0</v>
      </c>
      <c r="F58" s="32">
        <f>ROUND(F55,2)-F56</f>
        <v>0</v>
      </c>
      <c r="G58" s="32">
        <f>ROUND(G55,2)-G56</f>
        <v>0</v>
      </c>
      <c r="H58" s="66"/>
      <c r="I58" s="2"/>
    </row>
    <row r="59">
      <c r="A59" s="1"/>
      <c r="B59" s="1"/>
      <c r="C59" s="7"/>
      <c r="D59" s="7"/>
      <c r="E59" s="7"/>
      <c r="F59" s="7"/>
      <c r="G59" s="7"/>
      <c r="H59" s="42"/>
      <c r="I59" s="2"/>
    </row>
    <row r="60">
      <c r="A60" s="1"/>
      <c r="B60" s="14" t="s">
        <v>333</v>
      </c>
      <c r="C60" s="35"/>
      <c r="D60" s="35"/>
      <c r="E60" s="35"/>
      <c r="F60" s="35"/>
      <c r="G60" s="35"/>
      <c r="H60" s="36"/>
      <c r="I60" s="2"/>
    </row>
    <row r="61">
      <c r="A61" s="1"/>
      <c r="B61" s="14" t="s">
        <v>334</v>
      </c>
      <c r="C61" s="39">
        <f>C42</f>
        <v>-16.926</v>
      </c>
      <c r="D61" s="39">
        <f>D42</f>
        <v>-14.450000000000006</v>
      </c>
      <c r="E61" s="39">
        <f>E42</f>
        <v>-70.556</v>
      </c>
      <c r="F61" s="39">
        <f>F42</f>
        <v>-81.38700000000006</v>
      </c>
      <c r="G61" s="39">
        <f>G42</f>
        <v>-183.31900000000002</v>
      </c>
      <c r="H61" s="40">
        <f>H42</f>
        <v>-53.11221802939215</v>
      </c>
      <c r="I61" s="2"/>
    </row>
    <row r="62">
      <c r="A62" s="1"/>
      <c r="B62" s="1" t="s">
        <v>335</v>
      </c>
      <c r="C62" s="3">
        <f>-(C121-C123-C125-C127)</f>
        <v>-12.530999999999999</v>
      </c>
      <c r="D62" s="3">
        <f>-(D121-D123-D125-D127)</f>
        <v>-14.742</v>
      </c>
      <c r="E62" s="8">
        <v>52.194</v>
      </c>
      <c r="F62" s="8">
        <v>12.118</v>
      </c>
      <c r="G62" s="3">
        <f>SUM(C62:F62)</f>
        <v>37.039</v>
      </c>
      <c r="H62" s="44">
        <f>H99</f>
        <v>12.118</v>
      </c>
      <c r="I62" s="2" t="s">
        <v>336</v>
      </c>
    </row>
    <row r="63">
      <c r="A63" s="1"/>
      <c r="B63" s="1" t="s">
        <v>337</v>
      </c>
      <c r="C63" s="3">
        <f>C129</f>
        <v>3.21</v>
      </c>
      <c r="D63" s="3">
        <f>D129</f>
        <v>2.629</v>
      </c>
      <c r="E63" s="8">
        <v>2.058</v>
      </c>
      <c r="F63" s="8">
        <v>1.132</v>
      </c>
      <c r="G63" s="3">
        <f>SUM(C63:F63)</f>
        <v>9.029</v>
      </c>
      <c r="H63" s="44">
        <f>F63</f>
        <v>1.132</v>
      </c>
      <c r="I63" s="2" t="s">
        <v>338</v>
      </c>
    </row>
    <row r="64">
      <c r="A64" s="1"/>
      <c r="B64" s="1" t="s">
        <v>339</v>
      </c>
      <c r="C64" s="8">
        <v>14.446</v>
      </c>
      <c r="D64" s="8">
        <v>28.051</v>
      </c>
      <c r="E64" s="8">
        <v>48.946</v>
      </c>
      <c r="F64" s="8">
        <v>127.845</v>
      </c>
      <c r="G64" s="3">
        <f>SUM(C64:F64)</f>
        <v>219.288</v>
      </c>
      <c r="H64" s="61">
        <v>50</v>
      </c>
      <c r="I64" s="2" t="s">
        <v>340</v>
      </c>
    </row>
    <row r="65">
      <c r="A65" s="1"/>
      <c r="B65" s="1" t="s">
        <v>341</v>
      </c>
      <c r="C65" s="8">
        <v>0.173</v>
      </c>
      <c r="D65" s="8">
        <v>0</v>
      </c>
      <c r="E65" s="8">
        <v>0.107</v>
      </c>
      <c r="F65" s="8">
        <v>0.041</v>
      </c>
      <c r="G65" s="3">
        <f>SUM(C65:F65)</f>
        <v>0.321</v>
      </c>
      <c r="H65" s="61">
        <v>0.1</v>
      </c>
      <c r="I65" s="2"/>
    </row>
    <row r="66">
      <c r="A66" s="1"/>
      <c r="B66" s="1" t="s">
        <v>342</v>
      </c>
      <c r="C66" s="8">
        <v>1.196</v>
      </c>
      <c r="D66" s="8">
        <v>13.562</v>
      </c>
      <c r="E66" s="8">
        <v>6.145</v>
      </c>
      <c r="F66" s="8">
        <v>7.034</v>
      </c>
      <c r="G66" s="3">
        <f>SUM(C66:F66)</f>
        <v>27.936999999999998</v>
      </c>
      <c r="H66" s="61">
        <v>6.5</v>
      </c>
      <c r="I66" s="2" t="s">
        <v>343</v>
      </c>
    </row>
    <row r="67">
      <c r="A67" s="1"/>
      <c r="B67" s="1" t="s">
        <v>344</v>
      </c>
      <c r="C67" s="8">
        <v>0.19</v>
      </c>
      <c r="D67" s="8">
        <v>0.361</v>
      </c>
      <c r="E67" s="8">
        <v>0.32</v>
      </c>
      <c r="F67" s="8">
        <v>0.307</v>
      </c>
      <c r="G67" s="3">
        <f>SUM(C67:F67)</f>
        <v>1.178</v>
      </c>
      <c r="H67" s="61">
        <v>0.3</v>
      </c>
      <c r="I67" s="2"/>
    </row>
    <row r="68">
      <c r="A68" s="1"/>
      <c r="B68" s="1" t="s">
        <v>345</v>
      </c>
      <c r="C68" s="8">
        <v>1.751</v>
      </c>
      <c r="D68" s="8">
        <v>0</v>
      </c>
      <c r="E68" s="8">
        <v>-0.007</v>
      </c>
      <c r="F68" s="8">
        <v>0.055</v>
      </c>
      <c r="G68" s="3">
        <f>SUM(C68:F68)</f>
        <v>1.799</v>
      </c>
      <c r="H68" s="58">
        <f>'Segment - HPC Hosting'!H136+'Segment - DC Hosting'!H60</f>
        <v>0</v>
      </c>
      <c r="I68" s="2"/>
    </row>
    <row r="69">
      <c r="A69" s="1"/>
      <c r="B69" s="1" t="s">
        <v>346</v>
      </c>
      <c r="C69" s="8">
        <v>0.431</v>
      </c>
      <c r="D69" s="8">
        <v>0.304</v>
      </c>
      <c r="E69" s="8">
        <v>0.358</v>
      </c>
      <c r="F69" s="8">
        <v>0.377</v>
      </c>
      <c r="G69" s="3">
        <f>SUM(C69:F69)</f>
        <v>1.47</v>
      </c>
      <c r="H69" s="61">
        <v>0.4</v>
      </c>
      <c r="I69" s="2"/>
    </row>
    <row r="70">
      <c r="A70" s="1"/>
      <c r="B70" s="1" t="s">
        <v>347</v>
      </c>
      <c r="C70" s="8">
        <v>0.49</v>
      </c>
      <c r="D70" s="8">
        <v>0.293</v>
      </c>
      <c r="E70" s="8">
        <v>3.219</v>
      </c>
      <c r="F70" s="8">
        <v>1.224</v>
      </c>
      <c r="G70" s="3">
        <f>SUM(C70:F70)</f>
        <v>5.226</v>
      </c>
      <c r="H70" s="61">
        <v>1.5</v>
      </c>
      <c r="I70" s="2"/>
    </row>
    <row r="71">
      <c r="A71" s="1"/>
      <c r="B71" s="1" t="s">
        <v>348</v>
      </c>
      <c r="C71" s="3">
        <f>C37</f>
        <v>0</v>
      </c>
      <c r="D71" s="3">
        <f>D37</f>
        <v>-13.126</v>
      </c>
      <c r="E71" s="3">
        <f>E37</f>
        <v>-9.417</v>
      </c>
      <c r="F71" s="3">
        <f>F37</f>
        <v>-53.276</v>
      </c>
      <c r="G71" s="3">
        <f>G37</f>
        <v>-75.819</v>
      </c>
      <c r="H71" s="44">
        <f>H37</f>
        <v>0</v>
      </c>
      <c r="I71" s="2"/>
    </row>
    <row r="72">
      <c r="A72" s="1"/>
      <c r="B72" s="1" t="s">
        <v>349</v>
      </c>
      <c r="C72" s="3">
        <f>C38</f>
        <v>0</v>
      </c>
      <c r="D72" s="3">
        <f>D38</f>
        <v>-2.767</v>
      </c>
      <c r="E72" s="3">
        <f>E38</f>
        <v>-3.305</v>
      </c>
      <c r="F72" s="3">
        <f>F38</f>
        <v>-4.768</v>
      </c>
      <c r="G72" s="3">
        <f>G38</f>
        <v>-10.84</v>
      </c>
      <c r="H72" s="44">
        <f>H38</f>
        <v>0</v>
      </c>
      <c r="I72" s="2"/>
    </row>
    <row r="73">
      <c r="A73" s="1"/>
      <c r="B73" s="1" t="s">
        <v>350</v>
      </c>
      <c r="C73" s="3">
        <f>C39</f>
        <v>0</v>
      </c>
      <c r="D73" s="3">
        <f>D39</f>
        <v>0</v>
      </c>
      <c r="E73" s="3">
        <f>E39</f>
        <v>0</v>
      </c>
      <c r="F73" s="3">
        <f>F39</f>
        <v>2.212</v>
      </c>
      <c r="G73" s="3">
        <f>G39</f>
        <v>2.212</v>
      </c>
      <c r="H73" s="44">
        <f>H39</f>
        <v>0</v>
      </c>
      <c r="I73" s="2"/>
    </row>
    <row r="74">
      <c r="A74" s="1"/>
      <c r="B74" s="14" t="s">
        <v>351</v>
      </c>
      <c r="C74" s="37">
        <f>SUM(C61:C73)</f>
        <v>-7.5699999999999985</v>
      </c>
      <c r="D74" s="37">
        <f>SUM(D61:D73)</f>
        <v>0.11499999999999266</v>
      </c>
      <c r="E74" s="37">
        <f>SUM(E61:E73)</f>
        <v>30.062</v>
      </c>
      <c r="F74" s="37">
        <f>SUM(F61:F73)</f>
        <v>12.913999999999943</v>
      </c>
      <c r="G74" s="37">
        <f>SUM(G61:G73)</f>
        <v>35.521</v>
      </c>
      <c r="H74" s="56">
        <f>SUM(H61:H73)</f>
        <v>18.937781970607848</v>
      </c>
      <c r="I74" s="2"/>
    </row>
    <row r="75">
      <c r="A75" s="1"/>
      <c r="B75" s="1" t="s">
        <v>352</v>
      </c>
      <c r="C75" s="8">
        <v>0</v>
      </c>
      <c r="D75" s="8">
        <v>0</v>
      </c>
      <c r="E75" s="8">
        <v>3.094</v>
      </c>
      <c r="F75" s="8">
        <v>0</v>
      </c>
      <c r="G75" s="3">
        <f>IF('Share Count'!G25&gt;0,SUM(C75:F75),0)</f>
        <v>0</v>
      </c>
      <c r="H75" s="58">
        <f>IF('Share Count'!H32=1,'Share Count'!H29,0)</f>
        <v>0</v>
      </c>
      <c r="I75" s="2" t="s">
        <v>353</v>
      </c>
    </row>
    <row r="76">
      <c r="A76" s="1"/>
      <c r="B76" s="14" t="s">
        <v>354</v>
      </c>
      <c r="C76" s="37">
        <f>C74+C75</f>
        <v>-7.5699999999999985</v>
      </c>
      <c r="D76" s="37">
        <f>D74+D75</f>
        <v>0.11499999999999266</v>
      </c>
      <c r="E76" s="37">
        <f>E74+E75</f>
        <v>33.156</v>
      </c>
      <c r="F76" s="37">
        <f>F74+F75</f>
        <v>12.913999999999943</v>
      </c>
      <c r="G76" s="37">
        <f>G74+G75</f>
        <v>35.521</v>
      </c>
      <c r="H76" s="56">
        <f>H74+H75</f>
        <v>18.937781970607848</v>
      </c>
      <c r="I76" s="2"/>
    </row>
    <row r="77">
      <c r="A77" s="1"/>
      <c r="B77" s="1" t="s">
        <v>355</v>
      </c>
      <c r="C77" s="8">
        <v>-7.57</v>
      </c>
      <c r="D77" s="8">
        <v>0.115</v>
      </c>
      <c r="E77" s="8">
        <v>33.156</v>
      </c>
      <c r="F77" s="8">
        <v>12.914</v>
      </c>
      <c r="G77" s="8">
        <v>36.076</v>
      </c>
      <c r="H77" s="44"/>
      <c r="I77" s="2" t="s">
        <v>318</v>
      </c>
    </row>
    <row r="78">
      <c r="A78" s="1"/>
      <c r="B78" s="1" t="s">
        <v>108</v>
      </c>
      <c r="C78" s="3">
        <f>C76-C77</f>
        <v>0</v>
      </c>
      <c r="D78" s="3">
        <f>D76-D77</f>
        <v>0</v>
      </c>
      <c r="E78" s="3">
        <f>E76-E77</f>
        <v>0</v>
      </c>
      <c r="F78" s="3">
        <f>F76-F77</f>
        <v>0</v>
      </c>
      <c r="G78" s="3">
        <f>G76-G77</f>
        <v>-0.5549999999999997</v>
      </c>
      <c r="H78" s="44"/>
      <c r="I78" s="2" t="s">
        <v>356</v>
      </c>
    </row>
    <row r="79">
      <c r="A79" s="1"/>
      <c r="B79" s="25" t="s">
        <v>357</v>
      </c>
      <c r="C79" s="23">
        <f>C76/C14</f>
        <v>-0.0935330021993229</v>
      </c>
      <c r="D79" s="23">
        <f>D76/D14</f>
        <v>0.0007931526784420597</v>
      </c>
      <c r="E79" s="23">
        <f>E76/E14</f>
        <v>0.2618192155531164</v>
      </c>
      <c r="F79" s="23">
        <f>F76/F14</f>
        <v>0.04990956451837287</v>
      </c>
      <c r="G79" s="23">
        <f>G76/G14</f>
        <v>0.05810636174772211</v>
      </c>
      <c r="H79" s="50">
        <f>H76/H14</f>
        <v>0.09297228196772031</v>
      </c>
      <c r="I79" s="2"/>
    </row>
    <row r="80">
      <c r="A80" s="1"/>
      <c r="B80" s="1" t="s">
        <v>144</v>
      </c>
      <c r="C80" s="41" t="s">
        <v>40</v>
      </c>
      <c r="D80" s="41">
        <f>IFERROR((D79-C79)*10000,"n/a")</f>
        <v>943.2615487776495</v>
      </c>
      <c r="E80" s="41">
        <f>IFERROR((E79-D79)*10000,"n/a")</f>
        <v>2610.2606287467434</v>
      </c>
      <c r="F80" s="41">
        <f>IFERROR((F79-E79)*10000,"n/a")</f>
        <v>-2119.096510347435</v>
      </c>
      <c r="G80" s="41" t="s">
        <v>40</v>
      </c>
      <c r="H80" s="51">
        <f>IFERROR((H79-F79)*10000,"n/a")</f>
        <v>430.6271744934744</v>
      </c>
      <c r="I80" s="2"/>
    </row>
    <row r="81">
      <c r="A81" s="1"/>
      <c r="B81" s="1" t="s">
        <v>145</v>
      </c>
      <c r="C81" s="41" t="s">
        <v>40</v>
      </c>
      <c r="D81" s="41" t="s">
        <v>40</v>
      </c>
      <c r="E81" s="41" t="s">
        <v>40</v>
      </c>
      <c r="F81" s="41" t="s">
        <v>40</v>
      </c>
      <c r="G81" s="41" t="s">
        <v>40</v>
      </c>
      <c r="H81" s="51">
        <f>IFERROR((H79-C79)*10000,"n/a")</f>
        <v>1865.0528416704321</v>
      </c>
      <c r="I81" s="2"/>
    </row>
    <row r="82">
      <c r="A82" s="1"/>
      <c r="B82" s="14" t="s">
        <v>358</v>
      </c>
      <c r="C82" s="65">
        <f>C76/C53</f>
        <v>-0.02958267713458359</v>
      </c>
      <c r="D82" s="65">
        <f>D76/D53</f>
        <v>0.0004145279427879083</v>
      </c>
      <c r="E82" s="65">
        <f>E76/E53</f>
        <v>0.08672633963369657</v>
      </c>
      <c r="F82" s="65">
        <f>F76/F53</f>
        <v>0.039105011824769165</v>
      </c>
      <c r="G82" s="65">
        <f>G76/G53</f>
        <v>0.1113622683153169</v>
      </c>
      <c r="H82" s="77">
        <f>H76/H53</f>
        <v>0.0570796796972911</v>
      </c>
      <c r="I82" s="2"/>
    </row>
    <row r="83">
      <c r="A83" s="1"/>
      <c r="B83" s="1" t="s">
        <v>359</v>
      </c>
      <c r="C83" s="21">
        <v>-0.03</v>
      </c>
      <c r="D83" s="21">
        <v>0</v>
      </c>
      <c r="E83" s="21">
        <v>0.09</v>
      </c>
      <c r="F83" s="21">
        <v>0.04</v>
      </c>
      <c r="G83" s="21">
        <v>0.11</v>
      </c>
      <c r="H83" s="66"/>
      <c r="I83" s="2" t="s">
        <v>318</v>
      </c>
    </row>
    <row r="84">
      <c r="A84" s="1"/>
      <c r="B84" s="1" t="s">
        <v>360</v>
      </c>
      <c r="C84" s="26">
        <f>Inputs!E14</f>
        <v>-0.03</v>
      </c>
      <c r="D84" s="26">
        <f>Inputs!E15</f>
        <v>0</v>
      </c>
      <c r="E84" s="26">
        <f>Inputs!E16</f>
        <v>0.09</v>
      </c>
      <c r="F84" s="26">
        <f>Inputs!E17</f>
        <v>0.04</v>
      </c>
      <c r="G84" s="32"/>
      <c r="H84" s="66"/>
      <c r="I84" s="2" t="s">
        <v>361</v>
      </c>
    </row>
    <row r="85">
      <c r="A85" s="1"/>
      <c r="B85" s="1" t="s">
        <v>362</v>
      </c>
      <c r="C85" s="32">
        <f>ROUND(C82,2)-C84</f>
        <v>0</v>
      </c>
      <c r="D85" s="32">
        <f>ROUND(D82,2)-D84</f>
        <v>0</v>
      </c>
      <c r="E85" s="32">
        <f>ROUND(E82,2)-E84</f>
        <v>0</v>
      </c>
      <c r="F85" s="32">
        <f>ROUND(F82,2)-F84</f>
        <v>0</v>
      </c>
      <c r="G85" s="32"/>
      <c r="H85" s="66"/>
      <c r="I85" s="2"/>
    </row>
    <row r="86">
      <c r="A86" s="1"/>
      <c r="B86" s="1" t="s">
        <v>363</v>
      </c>
      <c r="C86" s="26">
        <f>Inputs!D14</f>
        <v>-0.16</v>
      </c>
      <c r="D86" s="26">
        <f>Inputs!D15</f>
        <v>-0.21</v>
      </c>
      <c r="E86" s="26">
        <f>Inputs!D16</f>
        <v>-0.21</v>
      </c>
      <c r="F86" s="26">
        <f>Inputs!D17</f>
        <v>-0.19</v>
      </c>
      <c r="G86" s="32"/>
      <c r="H86" s="38">
        <f>Inputs!C27</f>
        <v>-0.3</v>
      </c>
      <c r="I86" s="2" t="s">
        <v>114</v>
      </c>
    </row>
    <row r="87">
      <c r="A87" s="1"/>
      <c r="B87" s="1" t="s">
        <v>364</v>
      </c>
      <c r="C87" s="32">
        <f>C84-C86</f>
        <v>0.13</v>
      </c>
      <c r="D87" s="32">
        <f>D84-D86</f>
        <v>0.21</v>
      </c>
      <c r="E87" s="32">
        <f>E84-E86</f>
        <v>0.3</v>
      </c>
      <c r="F87" s="32">
        <f>F84-F86</f>
        <v>0.23</v>
      </c>
      <c r="G87" s="32"/>
      <c r="H87" s="66">
        <f>H82-H86</f>
        <v>0.3570796796972911</v>
      </c>
      <c r="I87" s="2"/>
    </row>
    <row r="88">
      <c r="A88" s="1"/>
      <c r="B88" s="14" t="s">
        <v>365</v>
      </c>
      <c r="C88" s="71">
        <f>ROUND(C82-C76/C53,6)</f>
        <v>0</v>
      </c>
      <c r="D88" s="71">
        <f>ROUND(D82-D76/D53,6)</f>
        <v>0</v>
      </c>
      <c r="E88" s="71">
        <f>ROUND(E82-E76/E53,6)</f>
        <v>0</v>
      </c>
      <c r="F88" s="71">
        <f>ROUND(F82-F76/F53,6)</f>
        <v>0</v>
      </c>
      <c r="G88" s="71">
        <f>ROUND(G82-G76/G53,6)</f>
        <v>0</v>
      </c>
      <c r="H88" s="83">
        <f>ROUND(H82-H76/H53,6)</f>
        <v>0</v>
      </c>
      <c r="I88" s="2" t="s">
        <v>366</v>
      </c>
    </row>
    <row r="89">
      <c r="A89" s="1"/>
      <c r="B89" s="14" t="s">
        <v>367</v>
      </c>
      <c r="C89" s="37">
        <f>C32+C62+C64+C65+C66+C67+C68+C69+C70</f>
        <v>-3.6159999999999988</v>
      </c>
      <c r="D89" s="37">
        <f>D32+D62+D64+D65+D66+D67+D68+D69+D70</f>
        <v>11.613999999999994</v>
      </c>
      <c r="E89" s="37">
        <f>E32+E62+E64+E65+E66+E67+E68+E69+E70</f>
        <v>25.615</v>
      </c>
      <c r="F89" s="37">
        <f>F32+F62+F64+F65+F66+F67+F68+F69+F70</f>
        <v>24.18099999999994</v>
      </c>
      <c r="G89" s="37">
        <f>G32+G62+G64+G65+G66+G67+G68+G69+G70</f>
        <v>57.79399999999993</v>
      </c>
      <c r="H89" s="56">
        <f>H32+H62+H64+H65+H66+H67+H68+H69+H70</f>
        <v>36.78275457334757</v>
      </c>
      <c r="I89" s="2"/>
    </row>
    <row r="90">
      <c r="A90" s="1"/>
      <c r="B90" s="1" t="s">
        <v>368</v>
      </c>
      <c r="C90" s="8">
        <v>-3.616</v>
      </c>
      <c r="D90" s="8">
        <v>11.614</v>
      </c>
      <c r="E90" s="8">
        <v>25.615</v>
      </c>
      <c r="F90" s="8">
        <v>24.181</v>
      </c>
      <c r="G90" s="8">
        <v>57.796</v>
      </c>
      <c r="H90" s="44"/>
      <c r="I90" s="2" t="s">
        <v>318</v>
      </c>
    </row>
    <row r="91">
      <c r="A91" s="1"/>
      <c r="B91" s="1" t="s">
        <v>108</v>
      </c>
      <c r="C91" s="3">
        <f>C89-C90</f>
        <v>0</v>
      </c>
      <c r="D91" s="3">
        <f>D89-D90</f>
        <v>0</v>
      </c>
      <c r="E91" s="3">
        <f>E89-E90</f>
        <v>0</v>
      </c>
      <c r="F91" s="3">
        <f>F89-F90</f>
        <v>0</v>
      </c>
      <c r="G91" s="3">
        <f>G89-G90</f>
        <v>-0.002000000000066393</v>
      </c>
      <c r="H91" s="44"/>
      <c r="I91" s="2"/>
    </row>
    <row r="92">
      <c r="A92" s="1"/>
      <c r="B92" s="25" t="s">
        <v>369</v>
      </c>
      <c r="C92" s="23">
        <f>C89/C14</f>
        <v>-0.04467837991449822</v>
      </c>
      <c r="D92" s="23">
        <f>D89/D14</f>
        <v>0.08010152354284056</v>
      </c>
      <c r="E92" s="23">
        <f>E89/E14</f>
        <v>0.20227105822153083</v>
      </c>
      <c r="F92" s="23">
        <f>F89/F14</f>
        <v>0.09345386244531335</v>
      </c>
      <c r="G92" s="23">
        <f>G89/G14</f>
        <v>0.09454123112659688</v>
      </c>
      <c r="H92" s="50">
        <f>H89/H14</f>
        <v>0.1805795755305635</v>
      </c>
      <c r="I92" s="2"/>
    </row>
    <row r="93">
      <c r="A93" s="1"/>
      <c r="B93" s="1" t="s">
        <v>144</v>
      </c>
      <c r="C93" s="41" t="s">
        <v>40</v>
      </c>
      <c r="D93" s="41">
        <f>IFERROR((D92-C92)*10000,"n/a")</f>
        <v>1247.7990345733876</v>
      </c>
      <c r="E93" s="41">
        <f>IFERROR((E92-D92)*10000,"n/a")</f>
        <v>1221.6953467869027</v>
      </c>
      <c r="F93" s="41">
        <f>IFERROR((F92-E92)*10000,"n/a")</f>
        <v>-1088.1719577621748</v>
      </c>
      <c r="G93" s="41" t="s">
        <v>40</v>
      </c>
      <c r="H93" s="51">
        <f>IFERROR((H92-F92)*10000,"n/a")</f>
        <v>871.2571308525015</v>
      </c>
      <c r="I93" s="2"/>
    </row>
    <row r="94">
      <c r="A94" s="1"/>
      <c r="B94" s="1" t="s">
        <v>145</v>
      </c>
      <c r="C94" s="41" t="s">
        <v>40</v>
      </c>
      <c r="D94" s="41" t="s">
        <v>40</v>
      </c>
      <c r="E94" s="41" t="s">
        <v>40</v>
      </c>
      <c r="F94" s="41" t="s">
        <v>40</v>
      </c>
      <c r="G94" s="41" t="s">
        <v>40</v>
      </c>
      <c r="H94" s="51">
        <f>IFERROR((H92-C92)*10000,"n/a")</f>
        <v>2252.5795544506173</v>
      </c>
      <c r="I94" s="2"/>
    </row>
    <row r="95">
      <c r="A95" s="1"/>
      <c r="B95" s="1" t="s">
        <v>370</v>
      </c>
      <c r="C95" s="20">
        <f>C89-'Segment - HPC Hosting'!C137-'Segment - DC Hosting'!C61-C68</f>
        <v>-9.379999999999997</v>
      </c>
      <c r="D95" s="20">
        <f>D89-'Segment - HPC Hosting'!D137-'Segment - DC Hosting'!D61-D68</f>
        <v>-1.7490000000000112</v>
      </c>
      <c r="E95" s="20">
        <f>E89-'Segment - HPC Hosting'!E137-'Segment - DC Hosting'!E61-E68</f>
        <v>-5.802</v>
      </c>
      <c r="F95" s="20">
        <f>F89-'Segment - HPC Hosting'!F137-'Segment - DC Hosting'!F61-F68</f>
        <v>-14.54000000000001</v>
      </c>
      <c r="G95" s="20">
        <f>G89-'Segment - HPC Hosting'!G137-'Segment - DC Hosting'!G61-G68</f>
        <v>-31.471000000000018</v>
      </c>
      <c r="H95" s="44">
        <f>AVERAGE(E95:F95)</f>
        <v>-10.171000000000005</v>
      </c>
      <c r="I95" s="2" t="s">
        <v>371</v>
      </c>
    </row>
    <row r="96">
      <c r="A96" s="1"/>
      <c r="B96" s="1"/>
      <c r="C96" s="7"/>
      <c r="D96" s="7"/>
      <c r="E96" s="7"/>
      <c r="F96" s="7"/>
      <c r="G96" s="7"/>
      <c r="H96" s="42"/>
      <c r="I96" s="2"/>
    </row>
    <row r="97">
      <c r="A97" s="1"/>
      <c r="B97" s="14" t="s">
        <v>372</v>
      </c>
      <c r="C97" s="35"/>
      <c r="D97" s="35"/>
      <c r="E97" s="35"/>
      <c r="F97" s="35"/>
      <c r="G97" s="35"/>
      <c r="H97" s="36"/>
      <c r="I97" s="2"/>
    </row>
    <row r="98">
      <c r="A98" s="1"/>
      <c r="B98" s="1" t="s">
        <v>373</v>
      </c>
      <c r="C98" s="3"/>
      <c r="D98" s="3"/>
      <c r="E98" s="3"/>
      <c r="F98" s="3"/>
      <c r="G98" s="3"/>
      <c r="H98" s="61">
        <v>22</v>
      </c>
      <c r="I98" s="2" t="s">
        <v>374</v>
      </c>
    </row>
    <row r="99">
      <c r="A99" s="1"/>
      <c r="B99" s="1" t="s">
        <v>375</v>
      </c>
      <c r="C99" s="3"/>
      <c r="D99" s="3"/>
      <c r="E99" s="3"/>
      <c r="F99" s="3"/>
      <c r="G99" s="3"/>
      <c r="H99" s="44">
        <f>F62</f>
        <v>12.118</v>
      </c>
      <c r="I99" s="2" t="s">
        <v>376</v>
      </c>
    </row>
    <row r="100">
      <c r="A100" s="1"/>
      <c r="B100" s="1" t="s">
        <v>377</v>
      </c>
      <c r="C100" s="3"/>
      <c r="D100" s="3"/>
      <c r="E100" s="3"/>
      <c r="F100" s="3"/>
      <c r="G100" s="3"/>
      <c r="H100" s="58">
        <f>'Revenue summary'!H36-H98+H99</f>
        <v>9.065880000000002</v>
      </c>
      <c r="I100" s="2"/>
    </row>
    <row r="101">
      <c r="A101" s="1"/>
      <c r="B101" s="1" t="s">
        <v>378</v>
      </c>
      <c r="C101" s="3"/>
      <c r="D101" s="3"/>
      <c r="E101" s="3"/>
      <c r="F101" s="3"/>
      <c r="G101" s="3"/>
      <c r="H101" s="44">
        <f>F36-F63</f>
        <v>9.501</v>
      </c>
      <c r="I101" s="2"/>
    </row>
    <row r="102">
      <c r="A102" s="1"/>
      <c r="B102" s="1" t="s">
        <v>379</v>
      </c>
      <c r="C102" s="3"/>
      <c r="D102" s="3"/>
      <c r="E102" s="3"/>
      <c r="F102" s="3"/>
      <c r="G102" s="3"/>
      <c r="H102" s="61">
        <v>1590</v>
      </c>
      <c r="I102" s="2" t="s">
        <v>380</v>
      </c>
    </row>
    <row r="103">
      <c r="A103" s="1"/>
      <c r="B103" s="25" t="s">
        <v>381</v>
      </c>
      <c r="C103" s="23"/>
      <c r="D103" s="23"/>
      <c r="E103" s="23"/>
      <c r="F103" s="23"/>
      <c r="G103" s="23"/>
      <c r="H103" s="46">
        <v>0.07</v>
      </c>
      <c r="I103" s="2"/>
    </row>
    <row r="104">
      <c r="A104" s="1"/>
      <c r="B104" s="1" t="s">
        <v>382</v>
      </c>
      <c r="C104" s="41"/>
      <c r="D104" s="41"/>
      <c r="E104" s="41"/>
      <c r="F104" s="41"/>
      <c r="G104" s="41"/>
      <c r="H104" s="64">
        <v>76</v>
      </c>
      <c r="I104" s="2"/>
    </row>
    <row r="105">
      <c r="A105" s="1"/>
      <c r="B105" s="1" t="s">
        <v>383</v>
      </c>
      <c r="C105" s="3"/>
      <c r="D105" s="3"/>
      <c r="E105" s="3"/>
      <c r="F105" s="3"/>
      <c r="G105" s="3"/>
      <c r="H105" s="44">
        <f>H102*H103*H104/365</f>
        <v>23.174794520547948</v>
      </c>
      <c r="I105" s="2"/>
    </row>
    <row r="106">
      <c r="A106" s="1"/>
      <c r="B106" s="1" t="s">
        <v>384</v>
      </c>
      <c r="C106" s="3"/>
      <c r="D106" s="3"/>
      <c r="E106" s="3"/>
      <c r="F106" s="3"/>
      <c r="G106" s="3"/>
      <c r="H106" s="61">
        <v>2150</v>
      </c>
      <c r="I106" s="2" t="s">
        <v>385</v>
      </c>
    </row>
    <row r="107">
      <c r="A107" s="1"/>
      <c r="B107" s="25" t="s">
        <v>386</v>
      </c>
      <c r="C107" s="23"/>
      <c r="D107" s="23"/>
      <c r="E107" s="23"/>
      <c r="F107" s="23"/>
      <c r="G107" s="23"/>
      <c r="H107" s="46">
        <v>0.0675</v>
      </c>
      <c r="I107" s="2"/>
    </row>
    <row r="108">
      <c r="A108" s="1"/>
      <c r="B108" s="1" t="s">
        <v>387</v>
      </c>
      <c r="C108" s="3"/>
      <c r="D108" s="3"/>
      <c r="E108" s="3"/>
      <c r="F108" s="3"/>
      <c r="G108" s="3"/>
      <c r="H108" s="44">
        <f>H106*H107*H109/365</f>
        <v>3.9760273972602738</v>
      </c>
      <c r="I108" s="2"/>
    </row>
    <row r="109">
      <c r="A109" s="1"/>
      <c r="B109" s="1" t="s">
        <v>388</v>
      </c>
      <c r="C109" s="41"/>
      <c r="D109" s="41"/>
      <c r="E109" s="41"/>
      <c r="F109" s="41"/>
      <c r="G109" s="41"/>
      <c r="H109" s="64">
        <v>10</v>
      </c>
      <c r="I109" s="2" t="s">
        <v>389</v>
      </c>
    </row>
    <row r="110">
      <c r="A110" s="1"/>
      <c r="B110" s="1" t="s">
        <v>390</v>
      </c>
      <c r="C110" s="3"/>
      <c r="D110" s="3"/>
      <c r="E110" s="3"/>
      <c r="F110" s="3"/>
      <c r="G110" s="3"/>
      <c r="H110" s="61">
        <v>-1</v>
      </c>
      <c r="I110" s="2" t="s">
        <v>391</v>
      </c>
    </row>
    <row r="111">
      <c r="A111" s="1"/>
      <c r="B111" s="1" t="s">
        <v>392</v>
      </c>
      <c r="C111" s="3"/>
      <c r="D111" s="3"/>
      <c r="E111" s="3"/>
      <c r="F111" s="3"/>
      <c r="G111" s="3"/>
      <c r="H111" s="61">
        <v>1300</v>
      </c>
      <c r="I111" s="2" t="s">
        <v>393</v>
      </c>
    </row>
    <row r="112">
      <c r="A112" s="1"/>
      <c r="B112" s="25" t="s">
        <v>394</v>
      </c>
      <c r="C112" s="23"/>
      <c r="D112" s="23"/>
      <c r="E112" s="23"/>
      <c r="F112" s="23"/>
      <c r="G112" s="23"/>
      <c r="H112" s="46">
        <v>0.04</v>
      </c>
      <c r="I112" s="2" t="s">
        <v>395</v>
      </c>
    </row>
    <row r="113">
      <c r="A113" s="1"/>
      <c r="B113" s="1" t="s">
        <v>396</v>
      </c>
      <c r="C113" s="3"/>
      <c r="D113" s="3"/>
      <c r="E113" s="3"/>
      <c r="F113" s="3"/>
      <c r="G113" s="3"/>
      <c r="H113" s="44">
        <f>-H111*H112*H$8/365</f>
        <v>-13.106849315068493</v>
      </c>
      <c r="I113" s="2"/>
    </row>
    <row r="114">
      <c r="A114" s="1"/>
      <c r="B114" s="1" t="s">
        <v>397</v>
      </c>
      <c r="C114" s="3"/>
      <c r="D114" s="3"/>
      <c r="E114" s="3"/>
      <c r="F114" s="3"/>
      <c r="G114" s="3"/>
      <c r="H114" s="61">
        <v>-5</v>
      </c>
      <c r="I114" s="2" t="s">
        <v>398</v>
      </c>
    </row>
    <row r="115">
      <c r="A115" s="1"/>
      <c r="B115" s="14" t="s">
        <v>399</v>
      </c>
      <c r="C115" s="37"/>
      <c r="D115" s="37"/>
      <c r="E115" s="37"/>
      <c r="F115" s="37"/>
      <c r="G115" s="37"/>
      <c r="H115" s="56">
        <f>H101+H105+H108+H110+H113+H114</f>
        <v>17.544972602739726</v>
      </c>
      <c r="I115" s="2" t="s">
        <v>400</v>
      </c>
    </row>
    <row r="116">
      <c r="A116" s="1"/>
      <c r="B116" s="25" t="s">
        <v>401</v>
      </c>
      <c r="C116" s="23"/>
      <c r="D116" s="23"/>
      <c r="E116" s="23"/>
      <c r="F116" s="23"/>
      <c r="G116" s="23"/>
      <c r="H116" s="67">
        <f>-F45/AVERAGE('Balance Sheet'!E48,'Balance Sheet'!F48)*365/F$8</f>
        <v>0.07609969331434203</v>
      </c>
      <c r="I116" s="2" t="s">
        <v>402</v>
      </c>
    </row>
    <row r="117">
      <c r="A117" s="1"/>
      <c r="B117" s="14" t="s">
        <v>403</v>
      </c>
      <c r="C117" s="39"/>
      <c r="D117" s="39"/>
      <c r="E117" s="39"/>
      <c r="F117" s="39"/>
      <c r="G117" s="39"/>
      <c r="H117" s="40">
        <f>ROUND(H76-(H89-H115-H41+H75),6)</f>
        <v>0</v>
      </c>
      <c r="I117" s="2"/>
    </row>
    <row r="118">
      <c r="A118" s="1"/>
      <c r="B118" s="1"/>
      <c r="C118" s="7"/>
      <c r="D118" s="7"/>
      <c r="E118" s="7"/>
      <c r="F118" s="7"/>
      <c r="G118" s="7"/>
      <c r="H118" s="42"/>
      <c r="I118" s="2"/>
    </row>
    <row r="119">
      <c r="A119" s="1"/>
      <c r="B119" s="14" t="s">
        <v>404</v>
      </c>
      <c r="C119" s="35"/>
      <c r="D119" s="35"/>
      <c r="E119" s="35"/>
      <c r="F119" s="35"/>
      <c r="G119" s="35"/>
      <c r="H119" s="36"/>
      <c r="I119" s="2"/>
    </row>
    <row r="120">
      <c r="A120" s="1"/>
      <c r="B120" s="1" t="s">
        <v>405</v>
      </c>
      <c r="C120" s="8">
        <v>64.216</v>
      </c>
      <c r="D120" s="8">
        <v>126.589</v>
      </c>
      <c r="E120" s="8">
        <v>126.637</v>
      </c>
      <c r="F120" s="8">
        <v>258.748</v>
      </c>
      <c r="G120" s="3"/>
      <c r="H120" s="44"/>
      <c r="I120" s="2" t="s">
        <v>406</v>
      </c>
    </row>
    <row r="121">
      <c r="A121" s="1"/>
      <c r="B121" s="1" t="s">
        <v>407</v>
      </c>
      <c r="C121" s="8">
        <v>16.718</v>
      </c>
      <c r="D121" s="8">
        <v>18.402</v>
      </c>
      <c r="E121" s="8">
        <v>0</v>
      </c>
      <c r="F121" s="8">
        <v>0</v>
      </c>
      <c r="G121" s="3"/>
      <c r="H121" s="44"/>
      <c r="I121" s="2" t="s">
        <v>408</v>
      </c>
    </row>
    <row r="122">
      <c r="A122" s="1"/>
      <c r="B122" s="1" t="s">
        <v>409</v>
      </c>
      <c r="C122" s="8">
        <v>55.606</v>
      </c>
      <c r="D122" s="8">
        <v>100.553</v>
      </c>
      <c r="E122" s="3"/>
      <c r="F122" s="3"/>
      <c r="G122" s="3"/>
      <c r="H122" s="44"/>
      <c r="I122" s="2" t="s">
        <v>410</v>
      </c>
    </row>
    <row r="123">
      <c r="A123" s="1"/>
      <c r="B123" s="1" t="s">
        <v>411</v>
      </c>
      <c r="C123" s="8">
        <v>3.365</v>
      </c>
      <c r="D123" s="8">
        <v>3.044</v>
      </c>
      <c r="E123" s="3"/>
      <c r="F123" s="3"/>
      <c r="G123" s="3"/>
      <c r="H123" s="44"/>
      <c r="I123" s="2" t="s">
        <v>412</v>
      </c>
    </row>
    <row r="124">
      <c r="A124" s="1"/>
      <c r="B124" s="1" t="s">
        <v>413</v>
      </c>
      <c r="C124" s="8">
        <v>29.152</v>
      </c>
      <c r="D124" s="8">
        <v>56.993</v>
      </c>
      <c r="E124" s="3"/>
      <c r="F124" s="3"/>
      <c r="G124" s="3"/>
      <c r="H124" s="44"/>
      <c r="I124" s="2" t="s">
        <v>410</v>
      </c>
    </row>
    <row r="125">
      <c r="A125" s="1"/>
      <c r="B125" s="1" t="s">
        <v>414</v>
      </c>
      <c r="C125" s="8">
        <v>0.33</v>
      </c>
      <c r="D125" s="8">
        <v>0.616</v>
      </c>
      <c r="E125" s="3"/>
      <c r="F125" s="3"/>
      <c r="G125" s="3"/>
      <c r="H125" s="44"/>
      <c r="I125" s="2" t="s">
        <v>412</v>
      </c>
    </row>
    <row r="126">
      <c r="A126" s="1"/>
      <c r="B126" s="1" t="s">
        <v>415</v>
      </c>
      <c r="C126" s="8">
        <v>1.751</v>
      </c>
      <c r="D126" s="8">
        <v>0</v>
      </c>
      <c r="E126" s="3"/>
      <c r="F126" s="3"/>
      <c r="G126" s="3"/>
      <c r="H126" s="44"/>
      <c r="I126" s="2" t="s">
        <v>410</v>
      </c>
    </row>
    <row r="127">
      <c r="A127" s="1"/>
      <c r="B127" s="1" t="s">
        <v>416</v>
      </c>
      <c r="C127" s="8">
        <v>0.492</v>
      </c>
      <c r="D127" s="8">
        <v>0</v>
      </c>
      <c r="E127" s="3"/>
      <c r="F127" s="3"/>
      <c r="G127" s="3"/>
      <c r="H127" s="44"/>
      <c r="I127" s="2" t="s">
        <v>412</v>
      </c>
    </row>
    <row r="128">
      <c r="A128" s="1"/>
      <c r="B128" s="1" t="s">
        <v>417</v>
      </c>
      <c r="C128" s="8">
        <v>3.946</v>
      </c>
      <c r="D128" s="8">
        <v>11.484</v>
      </c>
      <c r="E128" s="3"/>
      <c r="F128" s="3"/>
      <c r="G128" s="3"/>
      <c r="H128" s="44"/>
      <c r="I128" s="2" t="s">
        <v>410</v>
      </c>
    </row>
    <row r="129">
      <c r="A129" s="1"/>
      <c r="B129" s="1" t="s">
        <v>418</v>
      </c>
      <c r="C129" s="8">
        <v>3.21</v>
      </c>
      <c r="D129" s="8">
        <v>2.629</v>
      </c>
      <c r="E129" s="3"/>
      <c r="F129" s="3"/>
      <c r="G129" s="3"/>
      <c r="H129" s="44"/>
      <c r="I129" s="2" t="s">
        <v>412</v>
      </c>
    </row>
    <row r="130">
      <c r="A130" s="1"/>
      <c r="B130" s="1" t="s">
        <v>419</v>
      </c>
      <c r="C130" s="8">
        <v>-26.247</v>
      </c>
      <c r="D130" s="8">
        <v>-26.563</v>
      </c>
      <c r="E130" s="3"/>
      <c r="F130" s="3"/>
      <c r="G130" s="3"/>
      <c r="H130" s="44"/>
      <c r="I130" s="2" t="s">
        <v>410</v>
      </c>
    </row>
    <row r="131">
      <c r="A131" s="1"/>
      <c r="B131" s="1" t="s">
        <v>420</v>
      </c>
      <c r="C131" s="8">
        <v>9.321</v>
      </c>
      <c r="D131" s="8">
        <v>12.113</v>
      </c>
      <c r="E131" s="3"/>
      <c r="F131" s="3"/>
      <c r="G131" s="3"/>
      <c r="H131" s="44"/>
      <c r="I131" s="2" t="s">
        <v>410</v>
      </c>
    </row>
    <row r="132">
      <c r="A132" s="1"/>
      <c r="B132" s="14" t="s">
        <v>421</v>
      </c>
      <c r="C132" s="39">
        <f>ROUND(C42-(C130+C131),3)</f>
        <v>0</v>
      </c>
      <c r="D132" s="39">
        <f>ROUND(D42-(D130+D131),3)</f>
        <v>0</v>
      </c>
      <c r="E132" s="39"/>
      <c r="F132" s="39"/>
      <c r="G132" s="39"/>
      <c r="H132" s="40"/>
      <c r="I132" s="2"/>
    </row>
    <row r="133">
      <c r="A133" s="1"/>
      <c r="B133" s="1" t="s">
        <v>422</v>
      </c>
      <c r="C133" s="3"/>
      <c r="D133" s="3"/>
      <c r="E133" s="3"/>
      <c r="F133" s="3"/>
      <c r="G133" s="8">
        <v>611.311</v>
      </c>
      <c r="H133" s="44"/>
      <c r="I133" s="2" t="s">
        <v>423</v>
      </c>
    </row>
    <row r="134">
      <c r="A134" s="1"/>
      <c r="B134" s="1" t="s">
        <v>182</v>
      </c>
      <c r="C134" s="3"/>
      <c r="D134" s="3"/>
      <c r="E134" s="3"/>
      <c r="F134" s="3"/>
      <c r="G134" s="3">
        <f>ROUND(G14-G133,3)</f>
        <v>-0.001</v>
      </c>
      <c r="H134" s="44"/>
      <c r="I134" s="2"/>
    </row>
    <row r="135">
      <c r="A135" s="1"/>
      <c r="B135" s="1" t="s">
        <v>424</v>
      </c>
      <c r="C135" s="3"/>
      <c r="D135" s="3"/>
      <c r="E135" s="3"/>
      <c r="F135" s="3"/>
      <c r="G135" s="20">
        <f>'Cash Flow Statement'!F51</f>
        <v>-184.339</v>
      </c>
      <c r="H135" s="44"/>
      <c r="I135" s="2" t="s">
        <v>425</v>
      </c>
    </row>
    <row r="136">
      <c r="A136" s="1"/>
      <c r="B136" s="1" t="s">
        <v>182</v>
      </c>
      <c r="C136" s="3"/>
      <c r="D136" s="3"/>
      <c r="E136" s="3"/>
      <c r="F136" s="3"/>
      <c r="G136" s="3">
        <f>ROUND(G44-G135,3)</f>
        <v>0</v>
      </c>
      <c r="H136" s="44"/>
      <c r="I136" s="2"/>
    </row>
    <row r="137">
      <c r="A137" s="1"/>
      <c r="B137" s="1" t="s">
        <v>426</v>
      </c>
      <c r="C137" s="3"/>
      <c r="D137" s="3"/>
      <c r="E137" s="3"/>
      <c r="F137" s="3"/>
      <c r="G137" s="8">
        <v>-250.263</v>
      </c>
      <c r="H137" s="44"/>
      <c r="I137" s="2" t="s">
        <v>225</v>
      </c>
    </row>
    <row r="138">
      <c r="A138" s="1"/>
      <c r="B138" s="1" t="s">
        <v>182</v>
      </c>
      <c r="C138" s="3"/>
      <c r="D138" s="3"/>
      <c r="E138" s="3"/>
      <c r="F138" s="3"/>
      <c r="G138" s="3">
        <f>ROUND(G47-G137,3)</f>
        <v>0.238</v>
      </c>
      <c r="H138" s="44"/>
      <c r="I138" s="2" t="s">
        <v>427</v>
      </c>
    </row>
    <row r="139">
      <c r="A139" s="1"/>
      <c r="B139" s="1"/>
      <c r="C139" s="7"/>
      <c r="D139" s="7"/>
      <c r="E139" s="7"/>
      <c r="F139" s="7"/>
      <c r="G139" s="7"/>
      <c r="H139" s="42"/>
      <c r="I139" s="2"/>
    </row>
    <row r="140">
      <c r="A140" s="1"/>
      <c r="B140" s="1"/>
      <c r="C140" s="7"/>
      <c r="D140" s="7"/>
      <c r="E140" s="7"/>
      <c r="F140" s="7"/>
      <c r="G140" s="7"/>
      <c r="H140" s="42"/>
      <c r="I140" s="2"/>
    </row>
    <row r="141">
      <c r="A141" s="1"/>
      <c r="B141" s="1"/>
      <c r="C141" s="7"/>
      <c r="D141" s="7"/>
      <c r="E141" s="7"/>
      <c r="F141" s="7"/>
      <c r="G141" s="7"/>
      <c r="H141" s="42"/>
      <c r="I141" s="2"/>
    </row>
  </sheetData>
</worksheet>
</file>

<file path=xl/worksheets/sheet6.xml><?xml version="1.0" encoding="utf-8"?>
<worksheet xmlns="http://schemas.openxmlformats.org/spreadsheetml/2006/main" xmlns:r="http://schemas.openxmlformats.org/officeDocument/2006/relationships">
  <dimension ref="A1:I73"/>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428</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429</v>
      </c>
      <c r="C10" s="35"/>
      <c r="D10" s="35"/>
      <c r="E10" s="35"/>
      <c r="F10" s="35"/>
      <c r="G10" s="35"/>
      <c r="H10" s="36"/>
      <c r="I10" s="2"/>
    </row>
    <row r="11">
      <c r="A11" s="1"/>
      <c r="B11" s="1" t="s">
        <v>430</v>
      </c>
      <c r="C11" s="8">
        <v>73.911</v>
      </c>
      <c r="D11" s="8">
        <v>1913.436</v>
      </c>
      <c r="E11" s="8">
        <v>1730.44</v>
      </c>
      <c r="F11" s="8">
        <v>1591.988</v>
      </c>
      <c r="G11" s="3">
        <f>F11</f>
        <v>1591.988</v>
      </c>
      <c r="H11" s="58">
        <f>'Cash Flow Statement'!H38-H12-H24</f>
        <v>4598.49741240539</v>
      </c>
      <c r="I11" s="2" t="s">
        <v>431</v>
      </c>
    </row>
    <row r="12">
      <c r="A12" s="1"/>
      <c r="B12" s="1" t="s">
        <v>432</v>
      </c>
      <c r="C12" s="8">
        <v>40.193</v>
      </c>
      <c r="D12" s="8">
        <v>205.121</v>
      </c>
      <c r="E12" s="8">
        <v>198.423</v>
      </c>
      <c r="F12" s="8">
        <v>2381.027</v>
      </c>
      <c r="G12" s="3">
        <f>F12</f>
        <v>2381.027</v>
      </c>
      <c r="H12" s="44">
        <f>F12-H64</f>
        <v>274.02700000000004</v>
      </c>
      <c r="I12" s="2" t="s">
        <v>433</v>
      </c>
    </row>
    <row r="13">
      <c r="A13" s="1"/>
      <c r="B13" s="1" t="s">
        <v>434</v>
      </c>
      <c r="C13" s="8">
        <v>29.134</v>
      </c>
      <c r="D13" s="8">
        <v>13.345</v>
      </c>
      <c r="E13" s="8">
        <v>20.753</v>
      </c>
      <c r="F13" s="8">
        <v>56.309</v>
      </c>
      <c r="G13" s="3">
        <f>F13</f>
        <v>56.309</v>
      </c>
      <c r="H13" s="44">
        <f>F13</f>
        <v>56.309</v>
      </c>
      <c r="I13" s="2"/>
    </row>
    <row r="14">
      <c r="A14" s="1"/>
      <c r="B14" s="1" t="s">
        <v>435</v>
      </c>
      <c r="C14" s="8">
        <v>188.491</v>
      </c>
      <c r="D14" s="8">
        <v>272.012</v>
      </c>
      <c r="E14" s="8">
        <v>478.705</v>
      </c>
      <c r="F14" s="8">
        <v>613.692</v>
      </c>
      <c r="G14" s="3">
        <f>F14</f>
        <v>613.692</v>
      </c>
      <c r="H14" s="44">
        <f>F14</f>
        <v>613.692</v>
      </c>
      <c r="I14" s="2" t="s">
        <v>436</v>
      </c>
    </row>
    <row r="15">
      <c r="A15" s="1"/>
      <c r="B15" s="1" t="s">
        <v>437</v>
      </c>
      <c r="C15" s="8">
        <v>310.006</v>
      </c>
      <c r="D15" s="8">
        <v>313.403</v>
      </c>
      <c r="E15" s="8">
        <v>0</v>
      </c>
      <c r="F15" s="8">
        <v>19.841</v>
      </c>
      <c r="G15" s="3">
        <f>F15</f>
        <v>19.841</v>
      </c>
      <c r="H15" s="44">
        <f>F15</f>
        <v>19.841</v>
      </c>
      <c r="I15" s="2" t="s">
        <v>438</v>
      </c>
    </row>
    <row r="16">
      <c r="A16" s="1"/>
      <c r="B16" s="14" t="s">
        <v>439</v>
      </c>
      <c r="C16" s="37">
        <f>SUM(C11:C15)</f>
        <v>641.735</v>
      </c>
      <c r="D16" s="37">
        <f>SUM(D11:D15)</f>
        <v>2717.317</v>
      </c>
      <c r="E16" s="37">
        <f>SUM(E11:E15)</f>
        <v>2428.321</v>
      </c>
      <c r="F16" s="37">
        <f>SUM(F11:F15)</f>
        <v>4662.857</v>
      </c>
      <c r="G16" s="37">
        <f>SUM(G11:G15)</f>
        <v>4662.857</v>
      </c>
      <c r="H16" s="56">
        <f>SUM(H11:H15)</f>
        <v>5562.366412405389</v>
      </c>
      <c r="I16" s="2"/>
    </row>
    <row r="17">
      <c r="A17" s="1"/>
      <c r="B17" s="1" t="s">
        <v>440</v>
      </c>
      <c r="C17" s="8">
        <v>1461.775</v>
      </c>
      <c r="D17" s="8">
        <v>2001.45</v>
      </c>
      <c r="E17" s="8">
        <v>3011.751</v>
      </c>
      <c r="F17" s="8">
        <v>4236.3</v>
      </c>
      <c r="G17" s="3">
        <f>F17</f>
        <v>4236.3</v>
      </c>
      <c r="H17" s="58">
        <f>F17-'Cash Flow Statement'!H18-'Cash Flow Statement'!H12</f>
        <v>4795.300369565218</v>
      </c>
      <c r="I17" s="2" t="s">
        <v>441</v>
      </c>
    </row>
    <row r="18">
      <c r="A18" s="1"/>
      <c r="B18" s="1" t="s">
        <v>442</v>
      </c>
      <c r="C18" s="8">
        <v>0.81</v>
      </c>
      <c r="D18" s="8">
        <v>0.656</v>
      </c>
      <c r="E18" s="8">
        <v>77.457</v>
      </c>
      <c r="F18" s="8">
        <v>76.922</v>
      </c>
      <c r="G18" s="3">
        <f>F18</f>
        <v>76.922</v>
      </c>
      <c r="H18" s="44">
        <f>F18</f>
        <v>76.922</v>
      </c>
      <c r="I18" s="2"/>
    </row>
    <row r="19">
      <c r="A19" s="1"/>
      <c r="B19" s="1" t="s">
        <v>443</v>
      </c>
      <c r="C19" s="8">
        <v>16.893</v>
      </c>
      <c r="D19" s="8">
        <v>1.532</v>
      </c>
      <c r="E19" s="8">
        <v>135.581</v>
      </c>
      <c r="F19" s="8">
        <v>122.523</v>
      </c>
      <c r="G19" s="3">
        <f>F19</f>
        <v>122.523</v>
      </c>
      <c r="H19" s="44">
        <f>F19</f>
        <v>122.523</v>
      </c>
      <c r="I19" s="2"/>
    </row>
    <row r="20">
      <c r="A20" s="1"/>
      <c r="B20" s="1" t="s">
        <v>444</v>
      </c>
      <c r="C20" s="8">
        <v>277.782</v>
      </c>
      <c r="D20" s="8">
        <v>508.389</v>
      </c>
      <c r="E20" s="8">
        <v>593.708</v>
      </c>
      <c r="F20" s="8">
        <v>830.71</v>
      </c>
      <c r="G20" s="3">
        <f>F20</f>
        <v>830.71</v>
      </c>
      <c r="H20" s="44">
        <f>F20</f>
        <v>830.71</v>
      </c>
      <c r="I20" s="2" t="s">
        <v>445</v>
      </c>
    </row>
    <row r="21">
      <c r="A21" s="1"/>
      <c r="B21" s="14" t="s">
        <v>446</v>
      </c>
      <c r="C21" s="37">
        <f>C16+C17+C18+C19+C20</f>
        <v>2398.9950000000003</v>
      </c>
      <c r="D21" s="37">
        <f>D16+D17+D18+D19+D20</f>
        <v>5229.344</v>
      </c>
      <c r="E21" s="37">
        <f>E16+E17+E18+E19+E20</f>
        <v>6246.818</v>
      </c>
      <c r="F21" s="37">
        <f>F16+F17+F18+F19+F20</f>
        <v>9929.311999999998</v>
      </c>
      <c r="G21" s="37">
        <f>G16+G17+G18+G19+G20</f>
        <v>9929.311999999998</v>
      </c>
      <c r="H21" s="56">
        <f>H16+H17+H18+H19+H20</f>
        <v>11387.821781970608</v>
      </c>
      <c r="I21" s="2"/>
    </row>
    <row r="22">
      <c r="A22" s="1"/>
      <c r="B22" s="1" t="s">
        <v>447</v>
      </c>
      <c r="C22" s="8">
        <v>2398.995</v>
      </c>
      <c r="D22" s="8">
        <v>5229.344</v>
      </c>
      <c r="E22" s="8">
        <v>6246.818</v>
      </c>
      <c r="F22" s="8">
        <v>9929.312</v>
      </c>
      <c r="G22" s="3"/>
      <c r="H22" s="44"/>
      <c r="I22" s="2" t="s">
        <v>431</v>
      </c>
    </row>
    <row r="23">
      <c r="A23" s="1"/>
      <c r="B23" s="1" t="s">
        <v>108</v>
      </c>
      <c r="C23" s="3">
        <f>ROUND(C21-C22,3)</f>
        <v>0</v>
      </c>
      <c r="D23" s="3">
        <f>ROUND(D21-D22,3)</f>
        <v>0</v>
      </c>
      <c r="E23" s="3">
        <f>ROUND(E21-E22,3)</f>
        <v>0</v>
      </c>
      <c r="F23" s="3">
        <f>ROUND(F21-F22,3)</f>
        <v>0</v>
      </c>
      <c r="G23" s="3"/>
      <c r="H23" s="44"/>
      <c r="I23" s="2"/>
    </row>
    <row r="24">
      <c r="A24" s="1"/>
      <c r="B24" s="1" t="s">
        <v>448</v>
      </c>
      <c r="C24" s="8">
        <v>0</v>
      </c>
      <c r="D24" s="8">
        <v>177.207</v>
      </c>
      <c r="E24" s="8">
        <v>178.81</v>
      </c>
      <c r="F24" s="8">
        <v>180.415</v>
      </c>
      <c r="G24" s="3">
        <f>F24</f>
        <v>180.415</v>
      </c>
      <c r="H24" s="44">
        <f>F24</f>
        <v>180.415</v>
      </c>
      <c r="I24" s="2" t="s">
        <v>449</v>
      </c>
    </row>
    <row r="25">
      <c r="A25" s="1"/>
      <c r="B25" s="1"/>
      <c r="C25" s="7"/>
      <c r="D25" s="7"/>
      <c r="E25" s="7"/>
      <c r="F25" s="7"/>
      <c r="G25" s="7"/>
      <c r="H25" s="42"/>
      <c r="I25" s="2"/>
    </row>
    <row r="26">
      <c r="A26" s="1"/>
      <c r="B26" s="14" t="s">
        <v>450</v>
      </c>
      <c r="C26" s="35"/>
      <c r="D26" s="35"/>
      <c r="E26" s="35"/>
      <c r="F26" s="35"/>
      <c r="G26" s="35"/>
      <c r="H26" s="36"/>
      <c r="I26" s="2"/>
    </row>
    <row r="27">
      <c r="A27" s="1"/>
      <c r="B27" s="1" t="s">
        <v>451</v>
      </c>
      <c r="C27" s="8">
        <v>172.823</v>
      </c>
      <c r="D27" s="8">
        <v>92.911</v>
      </c>
      <c r="E27" s="8">
        <v>377.429</v>
      </c>
      <c r="F27" s="8">
        <v>395.474</v>
      </c>
      <c r="G27" s="3">
        <f>F27</f>
        <v>395.474</v>
      </c>
      <c r="H27" s="44">
        <f>F27</f>
        <v>395.474</v>
      </c>
      <c r="I27" s="2"/>
    </row>
    <row r="28">
      <c r="A28" s="1"/>
      <c r="B28" s="1" t="s">
        <v>452</v>
      </c>
      <c r="C28" s="8">
        <v>182.948</v>
      </c>
      <c r="D28" s="8">
        <v>207.454</v>
      </c>
      <c r="E28" s="8">
        <v>376.985</v>
      </c>
      <c r="F28" s="8">
        <v>548.493</v>
      </c>
      <c r="G28" s="3">
        <f>F28</f>
        <v>548.493</v>
      </c>
      <c r="H28" s="44">
        <f>F28</f>
        <v>548.493</v>
      </c>
      <c r="I28" s="2"/>
    </row>
    <row r="29">
      <c r="A29" s="1"/>
      <c r="B29" s="1" t="s">
        <v>453</v>
      </c>
      <c r="C29" s="8">
        <v>0.688</v>
      </c>
      <c r="D29" s="8">
        <v>0.632</v>
      </c>
      <c r="E29" s="8">
        <v>18.101</v>
      </c>
      <c r="F29" s="8">
        <v>18.484</v>
      </c>
      <c r="G29" s="3">
        <f>F29</f>
        <v>18.484</v>
      </c>
      <c r="H29" s="44">
        <f>F29</f>
        <v>18.484</v>
      </c>
      <c r="I29" s="2"/>
    </row>
    <row r="30">
      <c r="A30" s="1"/>
      <c r="B30" s="1" t="s">
        <v>454</v>
      </c>
      <c r="C30" s="8">
        <v>11.951</v>
      </c>
      <c r="D30" s="8">
        <v>1.366</v>
      </c>
      <c r="E30" s="8">
        <v>51.151</v>
      </c>
      <c r="F30" s="8">
        <v>47.585</v>
      </c>
      <c r="G30" s="3">
        <f>F30</f>
        <v>47.585</v>
      </c>
      <c r="H30" s="58">
        <f>F30+'Cash Flow Statement'!H24</f>
        <v>42.585</v>
      </c>
      <c r="I30" s="2"/>
    </row>
    <row r="31">
      <c r="A31" s="1"/>
      <c r="B31" s="1" t="s">
        <v>455</v>
      </c>
      <c r="C31" s="8">
        <v>382.056</v>
      </c>
      <c r="D31" s="8">
        <v>12.555</v>
      </c>
      <c r="E31" s="8">
        <v>98.174</v>
      </c>
      <c r="F31" s="8">
        <v>16.422</v>
      </c>
      <c r="G31" s="3">
        <f>F31</f>
        <v>16.422</v>
      </c>
      <c r="H31" s="44">
        <f>F31</f>
        <v>16.422</v>
      </c>
      <c r="I31" s="2"/>
    </row>
    <row r="32">
      <c r="A32" s="1"/>
      <c r="B32" s="1" t="s">
        <v>456</v>
      </c>
      <c r="C32" s="8">
        <v>16.752</v>
      </c>
      <c r="D32" s="8">
        <v>16.752</v>
      </c>
      <c r="E32" s="8">
        <v>16.752</v>
      </c>
      <c r="F32" s="8">
        <v>16.752</v>
      </c>
      <c r="G32" s="3">
        <f>F32</f>
        <v>16.752</v>
      </c>
      <c r="H32" s="44">
        <f>F32</f>
        <v>16.752</v>
      </c>
      <c r="I32" s="2"/>
    </row>
    <row r="33">
      <c r="A33" s="1"/>
      <c r="B33" s="1" t="s">
        <v>457</v>
      </c>
      <c r="C33" s="8">
        <v>0.626</v>
      </c>
      <c r="D33" s="8">
        <v>29.444</v>
      </c>
      <c r="E33" s="8">
        <v>12.55</v>
      </c>
      <c r="F33" s="8">
        <v>4.666</v>
      </c>
      <c r="G33" s="3">
        <f>F33</f>
        <v>4.666</v>
      </c>
      <c r="H33" s="44">
        <f>F33</f>
        <v>4.666</v>
      </c>
      <c r="I33" s="2"/>
    </row>
    <row r="34">
      <c r="A34" s="1"/>
      <c r="B34" s="1" t="s">
        <v>458</v>
      </c>
      <c r="C34" s="8">
        <v>3.054</v>
      </c>
      <c r="D34" s="8">
        <v>2.658</v>
      </c>
      <c r="E34" s="8">
        <v>2.658</v>
      </c>
      <c r="F34" s="8">
        <v>10.065</v>
      </c>
      <c r="G34" s="3">
        <f>F34</f>
        <v>10.065</v>
      </c>
      <c r="H34" s="44">
        <f>F34</f>
        <v>10.065</v>
      </c>
      <c r="I34" s="2"/>
    </row>
    <row r="35">
      <c r="A35" s="1"/>
      <c r="B35" s="1" t="s">
        <v>459</v>
      </c>
      <c r="C35" s="8">
        <v>188.215</v>
      </c>
      <c r="D35" s="8">
        <v>161.318</v>
      </c>
      <c r="E35" s="8">
        <v>0</v>
      </c>
      <c r="F35" s="8">
        <v>7.426</v>
      </c>
      <c r="G35" s="3">
        <f>F35</f>
        <v>7.426</v>
      </c>
      <c r="H35" s="44">
        <f>F35</f>
        <v>7.426</v>
      </c>
      <c r="I35" s="2"/>
    </row>
    <row r="36">
      <c r="A36" s="1"/>
      <c r="B36" s="1" t="s">
        <v>460</v>
      </c>
      <c r="C36" s="8">
        <v>26.38</v>
      </c>
      <c r="D36" s="8">
        <v>38.311</v>
      </c>
      <c r="E36" s="8">
        <v>65.518</v>
      </c>
      <c r="F36" s="8">
        <v>97.489</v>
      </c>
      <c r="G36" s="3">
        <f>F36</f>
        <v>97.489</v>
      </c>
      <c r="H36" s="44">
        <f>F36</f>
        <v>97.489</v>
      </c>
      <c r="I36" s="2"/>
    </row>
    <row r="37">
      <c r="A37" s="1"/>
      <c r="B37" s="14" t="s">
        <v>461</v>
      </c>
      <c r="C37" s="37">
        <f>SUM(C27:C36)</f>
        <v>985.493</v>
      </c>
      <c r="D37" s="37">
        <f>SUM(D27:D36)</f>
        <v>563.4010000000001</v>
      </c>
      <c r="E37" s="37">
        <f>SUM(E27:E36)</f>
        <v>1019.318</v>
      </c>
      <c r="F37" s="37">
        <f>SUM(F27:F36)</f>
        <v>1162.856</v>
      </c>
      <c r="G37" s="37">
        <f>SUM(G27:G36)</f>
        <v>1162.856</v>
      </c>
      <c r="H37" s="56">
        <f>SUM(H27:H36)</f>
        <v>1157.856</v>
      </c>
      <c r="I37" s="2"/>
    </row>
    <row r="38">
      <c r="A38" s="1"/>
      <c r="B38" s="1" t="s">
        <v>462</v>
      </c>
      <c r="C38" s="8">
        <v>0.22</v>
      </c>
      <c r="D38" s="8">
        <v>0.105</v>
      </c>
      <c r="E38" s="8">
        <v>45.051</v>
      </c>
      <c r="F38" s="8">
        <v>47.178</v>
      </c>
      <c r="G38" s="3">
        <f>F38</f>
        <v>47.178</v>
      </c>
      <c r="H38" s="44">
        <f>F38</f>
        <v>47.178</v>
      </c>
      <c r="I38" s="2"/>
    </row>
    <row r="39">
      <c r="A39" s="1"/>
      <c r="B39" s="1" t="s">
        <v>463</v>
      </c>
      <c r="C39" s="8">
        <v>0.011</v>
      </c>
      <c r="D39" s="8">
        <v>0.008</v>
      </c>
      <c r="E39" s="8">
        <v>20.502</v>
      </c>
      <c r="F39" s="8">
        <v>10.731</v>
      </c>
      <c r="G39" s="3">
        <f>F39</f>
        <v>10.731</v>
      </c>
      <c r="H39" s="44">
        <f>F39</f>
        <v>10.731</v>
      </c>
      <c r="I39" s="2"/>
    </row>
    <row r="40">
      <c r="A40" s="1"/>
      <c r="B40" s="1" t="s">
        <v>464</v>
      </c>
      <c r="C40" s="8">
        <v>305.283</v>
      </c>
      <c r="D40" s="8">
        <v>2594.011</v>
      </c>
      <c r="E40" s="8">
        <v>2594.501</v>
      </c>
      <c r="F40" s="8">
        <v>4959.516</v>
      </c>
      <c r="G40" s="3">
        <f>F40</f>
        <v>4959.516</v>
      </c>
      <c r="H40" s="58">
        <f>F40+'Cash Flow Statement'!H22+'Cash Flow Statement'!H23+'Cash Flow Statement'!H25+'Cash Flow Statement'!H14</f>
        <v>6278.715999999999</v>
      </c>
      <c r="I40" s="2" t="s">
        <v>465</v>
      </c>
    </row>
    <row r="41">
      <c r="A41" s="1"/>
      <c r="B41" s="1" t="s">
        <v>466</v>
      </c>
      <c r="C41" s="8">
        <v>0</v>
      </c>
      <c r="D41" s="8">
        <v>0</v>
      </c>
      <c r="E41" s="8">
        <v>0</v>
      </c>
      <c r="F41" s="8">
        <v>5.454</v>
      </c>
      <c r="G41" s="3">
        <f>F41</f>
        <v>5.454</v>
      </c>
      <c r="H41" s="44">
        <f>F41</f>
        <v>5.454</v>
      </c>
      <c r="I41" s="2"/>
    </row>
    <row r="42">
      <c r="A42" s="1"/>
      <c r="B42" s="14" t="s">
        <v>467</v>
      </c>
      <c r="C42" s="37">
        <f>C37+C38+C39+C40+C41</f>
        <v>1291.007</v>
      </c>
      <c r="D42" s="37">
        <f>D37+D38+D39+D40+D41</f>
        <v>3157.525</v>
      </c>
      <c r="E42" s="37">
        <f>E37+E38+E39+E40+E41</f>
        <v>3679.3720000000003</v>
      </c>
      <c r="F42" s="37">
        <f>F37+F38+F39+F40+F41</f>
        <v>6185.735</v>
      </c>
      <c r="G42" s="37">
        <f>G37+G38+G39+G40+G41</f>
        <v>6185.735</v>
      </c>
      <c r="H42" s="56">
        <f>H37+H38+H39+H40+H41</f>
        <v>7499.9349999999995</v>
      </c>
      <c r="I42" s="2"/>
    </row>
    <row r="43">
      <c r="A43" s="1"/>
      <c r="B43" s="1"/>
      <c r="C43" s="7"/>
      <c r="D43" s="7"/>
      <c r="E43" s="7"/>
      <c r="F43" s="7"/>
      <c r="G43" s="7"/>
      <c r="H43" s="42"/>
      <c r="I43" s="2"/>
    </row>
    <row r="44">
      <c r="A44" s="1"/>
      <c r="B44" s="14" t="s">
        <v>468</v>
      </c>
      <c r="C44" s="35"/>
      <c r="D44" s="35"/>
      <c r="E44" s="35"/>
      <c r="F44" s="35"/>
      <c r="G44" s="35"/>
      <c r="H44" s="36"/>
      <c r="I44" s="2"/>
    </row>
    <row r="45">
      <c r="A45" s="1"/>
      <c r="B45" s="1" t="s">
        <v>469</v>
      </c>
      <c r="C45" s="8">
        <v>6.932</v>
      </c>
      <c r="D45" s="8">
        <v>6.432</v>
      </c>
      <c r="E45" s="8">
        <v>6.432</v>
      </c>
      <c r="F45" s="8">
        <v>6.306</v>
      </c>
      <c r="G45" s="3">
        <f>F45</f>
        <v>6.306</v>
      </c>
      <c r="H45" s="44">
        <f>F45</f>
        <v>6.306</v>
      </c>
      <c r="I45" s="2"/>
    </row>
    <row r="46">
      <c r="A46" s="1"/>
      <c r="B46" s="1" t="s">
        <v>470</v>
      </c>
      <c r="C46" s="8">
        <v>56.796</v>
      </c>
      <c r="D46" s="8">
        <v>56.796</v>
      </c>
      <c r="E46" s="8">
        <v>56.728</v>
      </c>
      <c r="F46" s="8">
        <v>56.46</v>
      </c>
      <c r="G46" s="3">
        <f>F46</f>
        <v>56.46</v>
      </c>
      <c r="H46" s="44">
        <f>F46</f>
        <v>56.46</v>
      </c>
      <c r="I46" s="2"/>
    </row>
    <row r="47">
      <c r="A47" s="1"/>
      <c r="B47" s="1" t="s">
        <v>471</v>
      </c>
      <c r="C47" s="8">
        <v>0</v>
      </c>
      <c r="D47" s="8">
        <v>41.99</v>
      </c>
      <c r="E47" s="8">
        <v>0</v>
      </c>
      <c r="F47" s="8">
        <v>0</v>
      </c>
      <c r="G47" s="3">
        <f>F47</f>
        <v>0</v>
      </c>
      <c r="H47" s="44">
        <f>H67</f>
        <v>71.02330097087379</v>
      </c>
      <c r="I47" s="2"/>
    </row>
    <row r="48">
      <c r="A48" s="1"/>
      <c r="B48" s="1" t="s">
        <v>472</v>
      </c>
      <c r="C48" s="8">
        <v>0</v>
      </c>
      <c r="D48" s="8">
        <v>516.972</v>
      </c>
      <c r="E48" s="8">
        <v>923.065</v>
      </c>
      <c r="F48" s="8">
        <v>1956.303</v>
      </c>
      <c r="G48" s="3">
        <f>F48</f>
        <v>1956.303</v>
      </c>
      <c r="H48" s="58">
        <f>F48-'Income Statement'!H45</f>
        <v>1993.82742018179</v>
      </c>
      <c r="I48" s="2" t="s">
        <v>473</v>
      </c>
    </row>
    <row r="49">
      <c r="A49" s="1"/>
      <c r="B49" s="14" t="s">
        <v>474</v>
      </c>
      <c r="C49" s="37">
        <f>SUM(C45:C48)</f>
        <v>63.728</v>
      </c>
      <c r="D49" s="37">
        <f>SUM(D45:D48)</f>
        <v>622.1899999999999</v>
      </c>
      <c r="E49" s="37">
        <f>SUM(E45:E48)</f>
        <v>986.225</v>
      </c>
      <c r="F49" s="37">
        <f>SUM(F45:F48)</f>
        <v>2019.0690000000002</v>
      </c>
      <c r="G49" s="37">
        <f>SUM(G45:G48)</f>
        <v>2019.0690000000002</v>
      </c>
      <c r="H49" s="56">
        <f>SUM(H45:H48)</f>
        <v>2127.616721152664</v>
      </c>
      <c r="I49" s="2"/>
    </row>
    <row r="50">
      <c r="A50" s="1"/>
      <c r="B50" s="1"/>
      <c r="C50" s="7"/>
      <c r="D50" s="7"/>
      <c r="E50" s="7"/>
      <c r="F50" s="7"/>
      <c r="G50" s="7"/>
      <c r="H50" s="42"/>
      <c r="I50" s="2"/>
    </row>
    <row r="51">
      <c r="A51" s="1"/>
      <c r="B51" s="14" t="s">
        <v>475</v>
      </c>
      <c r="C51" s="35"/>
      <c r="D51" s="35"/>
      <c r="E51" s="35"/>
      <c r="F51" s="35"/>
      <c r="G51" s="35"/>
      <c r="H51" s="36"/>
      <c r="I51" s="2"/>
    </row>
    <row r="52">
      <c r="A52" s="1"/>
      <c r="B52" s="1" t="s">
        <v>476</v>
      </c>
      <c r="C52" s="8">
        <v>0.274</v>
      </c>
      <c r="D52" s="8">
        <v>0.287</v>
      </c>
      <c r="E52" s="8">
        <v>0.293</v>
      </c>
      <c r="F52" s="8">
        <v>0.296</v>
      </c>
      <c r="G52" s="3">
        <f>F52</f>
        <v>0.296</v>
      </c>
      <c r="H52" s="44">
        <f>F52</f>
        <v>0.296</v>
      </c>
      <c r="I52" s="2"/>
    </row>
    <row r="53">
      <c r="A53" s="1"/>
      <c r="B53" s="1" t="s">
        <v>477</v>
      </c>
      <c r="C53" s="8">
        <v>-31.4</v>
      </c>
      <c r="D53" s="8">
        <v>-52.737</v>
      </c>
      <c r="E53" s="8">
        <v>-52.737</v>
      </c>
      <c r="F53" s="8">
        <v>-52.737</v>
      </c>
      <c r="G53" s="3">
        <f>F53</f>
        <v>-52.737</v>
      </c>
      <c r="H53" s="44">
        <f>F53</f>
        <v>-52.737</v>
      </c>
      <c r="I53" s="2"/>
    </row>
    <row r="54">
      <c r="A54" s="1"/>
      <c r="B54" s="1" t="s">
        <v>478</v>
      </c>
      <c r="C54" s="8">
        <v>1573.367</v>
      </c>
      <c r="D54" s="8">
        <v>2014.459</v>
      </c>
      <c r="E54" s="8">
        <v>2216.722</v>
      </c>
      <c r="F54" s="8">
        <v>2432.25</v>
      </c>
      <c r="G54" s="3">
        <f>F54</f>
        <v>2432.25</v>
      </c>
      <c r="H54" s="58">
        <f>F54+'Income Statement'!H64+'Cash Flow Statement'!H28-H67</f>
        <v>2561.2266990291264</v>
      </c>
      <c r="I54" s="2" t="s">
        <v>479</v>
      </c>
    </row>
    <row r="55">
      <c r="A55" s="1"/>
      <c r="B55" s="1" t="s">
        <v>480</v>
      </c>
      <c r="C55" s="8">
        <v>-497.981</v>
      </c>
      <c r="D55" s="8">
        <v>-512.38</v>
      </c>
      <c r="E55" s="8">
        <v>-583.057</v>
      </c>
      <c r="F55" s="8">
        <v>-662.333</v>
      </c>
      <c r="G55" s="3">
        <f>F55</f>
        <v>-662.333</v>
      </c>
      <c r="H55" s="58">
        <f>F55+'Income Statement'!H47</f>
        <v>-755.5476382111821</v>
      </c>
      <c r="I55" s="2" t="s">
        <v>481</v>
      </c>
    </row>
    <row r="56">
      <c r="A56" s="1"/>
      <c r="B56" s="14" t="s">
        <v>482</v>
      </c>
      <c r="C56" s="37">
        <f>SUM(C52:C55)</f>
        <v>1044.26</v>
      </c>
      <c r="D56" s="37">
        <f>SUM(D52:D55)</f>
        <v>1449.629</v>
      </c>
      <c r="E56" s="37">
        <f>SUM(E52:E55)</f>
        <v>1581.2210000000002</v>
      </c>
      <c r="F56" s="37">
        <f>SUM(F52:F55)</f>
        <v>1717.476</v>
      </c>
      <c r="G56" s="37">
        <f>SUM(G52:G55)</f>
        <v>1717.476</v>
      </c>
      <c r="H56" s="56">
        <f>SUM(H52:H55)</f>
        <v>1753.2380608179446</v>
      </c>
      <c r="I56" s="2"/>
    </row>
    <row r="57">
      <c r="A57" s="1"/>
      <c r="B57" s="1" t="s">
        <v>483</v>
      </c>
      <c r="C57" s="8">
        <v>0</v>
      </c>
      <c r="D57" s="8">
        <v>0</v>
      </c>
      <c r="E57" s="8">
        <v>0</v>
      </c>
      <c r="F57" s="8">
        <v>7.032</v>
      </c>
      <c r="G57" s="3">
        <f>F57</f>
        <v>7.032</v>
      </c>
      <c r="H57" s="44">
        <f>F57</f>
        <v>7.032</v>
      </c>
      <c r="I57" s="2"/>
    </row>
    <row r="58">
      <c r="A58" s="1"/>
      <c r="B58" s="14" t="s">
        <v>484</v>
      </c>
      <c r="C58" s="37">
        <f>C56+C57</f>
        <v>1044.26</v>
      </c>
      <c r="D58" s="37">
        <f>D56+D57</f>
        <v>1449.629</v>
      </c>
      <c r="E58" s="37">
        <f>E56+E57</f>
        <v>1581.2210000000002</v>
      </c>
      <c r="F58" s="37">
        <f>F56+F57</f>
        <v>1724.508</v>
      </c>
      <c r="G58" s="37">
        <f>G56+G57</f>
        <v>1724.508</v>
      </c>
      <c r="H58" s="56">
        <f>H56+H57</f>
        <v>1760.2700608179446</v>
      </c>
      <c r="I58" s="2"/>
    </row>
    <row r="59">
      <c r="A59" s="1"/>
      <c r="B59" s="14" t="s">
        <v>485</v>
      </c>
      <c r="C59" s="37">
        <f>C42+C49+C58</f>
        <v>2398.995</v>
      </c>
      <c r="D59" s="37">
        <f>D42+D49+D58</f>
        <v>5229.344</v>
      </c>
      <c r="E59" s="37">
        <f>E42+E49+E58</f>
        <v>6246.818000000001</v>
      </c>
      <c r="F59" s="37">
        <f>F42+F49+F58</f>
        <v>9929.312</v>
      </c>
      <c r="G59" s="37">
        <f>G42+G49+G58</f>
        <v>9929.312</v>
      </c>
      <c r="H59" s="56">
        <f>H42+H49+H58</f>
        <v>11387.821781970608</v>
      </c>
      <c r="I59" s="2"/>
    </row>
    <row r="60">
      <c r="A60" s="1"/>
      <c r="B60" s="14" t="s">
        <v>486</v>
      </c>
      <c r="C60" s="39">
        <f>ROUND(C21-C42-C49-C58,3)</f>
        <v>0</v>
      </c>
      <c r="D60" s="39">
        <f>ROUND(D21-D42-D49-D58,3)</f>
        <v>0</v>
      </c>
      <c r="E60" s="39">
        <f>ROUND(E21-E42-E49-E58,3)</f>
        <v>0</v>
      </c>
      <c r="F60" s="39">
        <f>ROUND(F21-F42-F49-F58,3)</f>
        <v>0</v>
      </c>
      <c r="G60" s="39">
        <f>ROUND(G21-G42-G49-G58,3)</f>
        <v>0</v>
      </c>
      <c r="H60" s="40">
        <f>ROUND(H21-H42-H49-H58,3)</f>
        <v>0</v>
      </c>
      <c r="I60" s="2"/>
    </row>
    <row r="61">
      <c r="A61" s="1"/>
      <c r="B61" s="1"/>
      <c r="C61" s="7"/>
      <c r="D61" s="7"/>
      <c r="E61" s="7"/>
      <c r="F61" s="7"/>
      <c r="G61" s="7"/>
      <c r="H61" s="42"/>
      <c r="I61" s="2"/>
    </row>
    <row r="62">
      <c r="A62" s="1"/>
      <c r="B62" s="14" t="s">
        <v>487</v>
      </c>
      <c r="C62" s="35"/>
      <c r="D62" s="35"/>
      <c r="E62" s="35"/>
      <c r="F62" s="35"/>
      <c r="G62" s="35"/>
      <c r="H62" s="36"/>
      <c r="I62" s="2"/>
    </row>
    <row r="63">
      <c r="A63" s="1"/>
      <c r="B63" s="25" t="s">
        <v>488</v>
      </c>
      <c r="C63" s="23"/>
      <c r="D63" s="23"/>
      <c r="E63" s="23"/>
      <c r="F63" s="23"/>
      <c r="G63" s="23"/>
      <c r="H63" s="46">
        <v>0.98</v>
      </c>
      <c r="I63" s="2" t="s">
        <v>225</v>
      </c>
    </row>
    <row r="64">
      <c r="A64" s="1"/>
      <c r="B64" s="1" t="s">
        <v>489</v>
      </c>
      <c r="C64" s="3"/>
      <c r="D64" s="3"/>
      <c r="E64" s="3"/>
      <c r="F64" s="3"/>
      <c r="G64" s="3"/>
      <c r="H64" s="58">
        <f>'Income Statement'!H106*H63</f>
        <v>2107</v>
      </c>
      <c r="I64" s="2" t="s">
        <v>490</v>
      </c>
    </row>
    <row r="65">
      <c r="A65" s="1"/>
      <c r="B65" s="1" t="s">
        <v>491</v>
      </c>
      <c r="C65" s="41"/>
      <c r="D65" s="41"/>
      <c r="E65" s="41"/>
      <c r="F65" s="41"/>
      <c r="G65" s="41"/>
      <c r="H65" s="64">
        <v>154500</v>
      </c>
      <c r="I65" s="2" t="s">
        <v>492</v>
      </c>
    </row>
    <row r="66">
      <c r="A66" s="1"/>
      <c r="B66" s="1" t="s">
        <v>493</v>
      </c>
      <c r="C66" s="41"/>
      <c r="D66" s="41"/>
      <c r="E66" s="41"/>
      <c r="F66" s="41"/>
      <c r="G66" s="41"/>
      <c r="H66" s="64">
        <v>73154</v>
      </c>
      <c r="I66" s="2" t="s">
        <v>492</v>
      </c>
    </row>
    <row r="67">
      <c r="A67" s="1"/>
      <c r="B67" s="1" t="s">
        <v>494</v>
      </c>
      <c r="C67" s="3"/>
      <c r="D67" s="3"/>
      <c r="E67" s="3"/>
      <c r="F67" s="3"/>
      <c r="G67" s="3"/>
      <c r="H67" s="58">
        <f>H66/H65*'Cash Flow Statement'!H28</f>
        <v>71.02330097087379</v>
      </c>
      <c r="I67" s="2" t="s">
        <v>495</v>
      </c>
    </row>
    <row r="68">
      <c r="A68" s="1"/>
      <c r="B68" s="1" t="s">
        <v>496</v>
      </c>
      <c r="C68" s="3">
        <f>C31+C40-C11-C12-C24</f>
        <v>573.2349999999999</v>
      </c>
      <c r="D68" s="3">
        <f>D31+D40-D11-D12-D24</f>
        <v>310.8019999999999</v>
      </c>
      <c r="E68" s="3">
        <f>E31+E40-E11-E12-E24</f>
        <v>585.0020000000002</v>
      </c>
      <c r="F68" s="3">
        <f>F31+F40-F11-F12-F24</f>
        <v>822.5079999999989</v>
      </c>
      <c r="G68" s="3">
        <f>G31+G40-G11-G12-G24</f>
        <v>822.5079999999989</v>
      </c>
      <c r="H68" s="44">
        <f>H31+H40-H11-H12-H24</f>
        <v>1242.1985875946093</v>
      </c>
      <c r="I68" s="2"/>
    </row>
    <row r="69">
      <c r="A69" s="1"/>
      <c r="B69" s="25" t="s">
        <v>497</v>
      </c>
      <c r="C69" s="23">
        <f>(C31+C40)/C21</f>
        <v>0.2865112265761287</v>
      </c>
      <c r="D69" s="23">
        <f>(D31+D40)/D21</f>
        <v>0.49844990117307253</v>
      </c>
      <c r="E69" s="23">
        <f>(E31+E40)/E21</f>
        <v>0.43104745488022866</v>
      </c>
      <c r="F69" s="23">
        <f>(F31+F40)/F21</f>
        <v>0.5011362317953147</v>
      </c>
      <c r="G69" s="23">
        <f>(G31+G40)/G21</f>
        <v>0.5011362317953147</v>
      </c>
      <c r="H69" s="50">
        <f>(H31+H40)/H21</f>
        <v>0.5527956197880237</v>
      </c>
      <c r="I69" s="2"/>
    </row>
    <row r="70">
      <c r="A70" s="1"/>
      <c r="B70" s="1" t="s">
        <v>144</v>
      </c>
      <c r="C70" s="41" t="s">
        <v>40</v>
      </c>
      <c r="D70" s="41">
        <f>IFERROR((D69-C69)*10000,"n/a")</f>
        <v>2119.3867459694384</v>
      </c>
      <c r="E70" s="41">
        <f>IFERROR((E69-D69)*10000,"n/a")</f>
        <v>-674.0244629284387</v>
      </c>
      <c r="F70" s="41">
        <f>IFERROR((F69-E69)*10000,"n/a")</f>
        <v>700.8877691508608</v>
      </c>
      <c r="G70" s="41" t="s">
        <v>40</v>
      </c>
      <c r="H70" s="51">
        <f>IFERROR((H69-F69)*10000,"n/a")</f>
        <v>516.5938799270897</v>
      </c>
      <c r="I70" s="2"/>
    </row>
    <row r="71">
      <c r="A71" s="1"/>
      <c r="B71" s="1"/>
      <c r="C71" s="7"/>
      <c r="D71" s="7"/>
      <c r="E71" s="7"/>
      <c r="F71" s="7"/>
      <c r="G71" s="7"/>
      <c r="H71" s="42"/>
      <c r="I71" s="2"/>
    </row>
    <row r="72">
      <c r="A72" s="1"/>
      <c r="B72" s="1"/>
      <c r="C72" s="7"/>
      <c r="D72" s="7"/>
      <c r="E72" s="7"/>
      <c r="F72" s="7"/>
      <c r="G72" s="7"/>
      <c r="H72" s="42"/>
      <c r="I72" s="2"/>
    </row>
    <row r="73">
      <c r="A73" s="1"/>
      <c r="B73" s="1"/>
      <c r="C73" s="7"/>
      <c r="D73" s="7"/>
      <c r="E73" s="7"/>
      <c r="F73" s="7"/>
      <c r="G73" s="7"/>
      <c r="H73" s="42"/>
      <c r="I73" s="2"/>
    </row>
  </sheetData>
</worksheet>
</file>

<file path=xl/worksheets/sheet7.xml><?xml version="1.0" encoding="utf-8"?>
<worksheet xmlns="http://schemas.openxmlformats.org/spreadsheetml/2006/main" xmlns:r="http://schemas.openxmlformats.org/officeDocument/2006/relationships">
  <dimension ref="A1:I81"/>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498</v>
      </c>
      <c r="C3" s="1"/>
      <c r="D3" s="1"/>
      <c r="E3" s="1"/>
      <c r="F3" s="1"/>
      <c r="G3" s="1"/>
      <c r="H3" s="1"/>
      <c r="I3" s="1"/>
    </row>
    <row r="4">
      <c r="A4" s="1"/>
      <c r="B4" s="25" t="s">
        <v>2</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499</v>
      </c>
      <c r="C10" s="35"/>
      <c r="D10" s="35"/>
      <c r="E10" s="35"/>
      <c r="F10" s="35"/>
      <c r="G10" s="35"/>
      <c r="H10" s="36"/>
      <c r="I10" s="2"/>
    </row>
    <row r="11">
      <c r="A11" s="1"/>
      <c r="B11" s="1" t="s">
        <v>500</v>
      </c>
      <c r="C11" s="3">
        <f>C51</f>
        <v>-16.926</v>
      </c>
      <c r="D11" s="3">
        <f>D51-C51</f>
        <v>-14.450000000000003</v>
      </c>
      <c r="E11" s="3">
        <f>E51-D51</f>
        <v>-70.556</v>
      </c>
      <c r="F11" s="3">
        <f>F51-E51</f>
        <v>-82.407</v>
      </c>
      <c r="G11" s="3">
        <f>SUM(C11:F11)</f>
        <v>-184.339</v>
      </c>
      <c r="H11" s="58">
        <f>'Income Statement'!H44</f>
        <v>-54.132218029392156</v>
      </c>
      <c r="I11" s="2" t="s">
        <v>501</v>
      </c>
    </row>
    <row r="12">
      <c r="A12" s="1"/>
      <c r="B12" s="1" t="s">
        <v>502</v>
      </c>
      <c r="C12" s="3">
        <f>C52</f>
        <v>4.152</v>
      </c>
      <c r="D12" s="3">
        <f>D52-C52</f>
        <v>8.587</v>
      </c>
      <c r="E12" s="3">
        <f>E52-D52</f>
        <v>20.813</v>
      </c>
      <c r="F12" s="3">
        <f>F52-E52</f>
        <v>33.835</v>
      </c>
      <c r="G12" s="3">
        <f>SUM(C12:F12)</f>
        <v>67.387</v>
      </c>
      <c r="H12" s="58">
        <f>'Segment - HPC Hosting'!H153+'Segment - DC Hosting'!H68+H45+H46</f>
        <v>40.99963043478261</v>
      </c>
      <c r="I12" s="2"/>
    </row>
    <row r="13">
      <c r="A13" s="1"/>
      <c r="B13" s="1" t="s">
        <v>503</v>
      </c>
      <c r="C13" s="3">
        <f>C53</f>
        <v>15.465</v>
      </c>
      <c r="D13" s="3">
        <f>D53-C53</f>
        <v>29.127</v>
      </c>
      <c r="E13" s="3">
        <f>E53-D53</f>
        <v>50.149</v>
      </c>
      <c r="F13" s="3">
        <f>F53-E53</f>
        <v>125.39399999999999</v>
      </c>
      <c r="G13" s="3">
        <f>SUM(C13:F13)</f>
        <v>220.135</v>
      </c>
      <c r="H13" s="58">
        <f>'Income Statement'!H64</f>
        <v>50</v>
      </c>
      <c r="I13" s="2"/>
    </row>
    <row r="14">
      <c r="A14" s="1"/>
      <c r="B14" s="1" t="s">
        <v>504</v>
      </c>
      <c r="C14" s="3">
        <f>C16-C11-C12-C13-C15</f>
        <v>11.983000000000004</v>
      </c>
      <c r="D14" s="3">
        <f>D16-D11-D12-D13-D15</f>
        <v>-3.1070000000000135</v>
      </c>
      <c r="E14" s="3">
        <f>E16-E11-E12-E13-E15</f>
        <v>115.80100000000003</v>
      </c>
      <c r="F14" s="3">
        <f>F16-F11-F12-F13-F15</f>
        <v>-130.64600000000002</v>
      </c>
      <c r="G14" s="3">
        <f>SUM(C14:F14)</f>
        <v>-5.968999999999994</v>
      </c>
      <c r="H14" s="44">
        <f>H47</f>
        <v>9</v>
      </c>
      <c r="I14" s="2" t="s">
        <v>505</v>
      </c>
    </row>
    <row r="15">
      <c r="A15" s="1"/>
      <c r="B15" s="1" t="s">
        <v>506</v>
      </c>
      <c r="C15" s="3">
        <f>C63</f>
        <v>-96.697</v>
      </c>
      <c r="D15" s="3">
        <f>D63-C63</f>
        <v>-36.00199999999998</v>
      </c>
      <c r="E15" s="3">
        <f>E63-D63</f>
        <v>-61.19900000000004</v>
      </c>
      <c r="F15" s="3">
        <f>F63-E63</f>
        <v>186.36900000000003</v>
      </c>
      <c r="G15" s="3">
        <f>SUM(C15:F15)</f>
        <v>-7.528999999999996</v>
      </c>
      <c r="H15" s="61">
        <v>0</v>
      </c>
      <c r="I15" s="2" t="s">
        <v>507</v>
      </c>
    </row>
    <row r="16">
      <c r="A16" s="1"/>
      <c r="B16" s="14" t="s">
        <v>508</v>
      </c>
      <c r="C16" s="37">
        <f>C64</f>
        <v>-82.023</v>
      </c>
      <c r="D16" s="37">
        <f>D64-C64</f>
        <v>-15.844999999999999</v>
      </c>
      <c r="E16" s="37">
        <f>E64-D64</f>
        <v>55.007999999999996</v>
      </c>
      <c r="F16" s="37">
        <f>F64-E64</f>
        <v>132.54500000000002</v>
      </c>
      <c r="G16" s="37">
        <f>SUM(C16:F16)</f>
        <v>89.68500000000002</v>
      </c>
      <c r="H16" s="56">
        <f>H11+H12+H13+H14+H15</f>
        <v>45.86741240539045</v>
      </c>
      <c r="I16" s="2"/>
    </row>
    <row r="17">
      <c r="A17" s="1"/>
      <c r="B17" s="14" t="s">
        <v>509</v>
      </c>
      <c r="C17" s="35"/>
      <c r="D17" s="35"/>
      <c r="E17" s="35"/>
      <c r="F17" s="35"/>
      <c r="G17" s="35"/>
      <c r="H17" s="36"/>
      <c r="I17" s="2"/>
    </row>
    <row r="18">
      <c r="A18" s="1"/>
      <c r="B18" s="1" t="s">
        <v>510</v>
      </c>
      <c r="C18" s="3">
        <f>C65</f>
        <v>-249.42</v>
      </c>
      <c r="D18" s="3">
        <f>D65-C65</f>
        <v>-552.07</v>
      </c>
      <c r="E18" s="3">
        <f>E65-D65</f>
        <v>-775.2069999999999</v>
      </c>
      <c r="F18" s="3">
        <f>F65-E65</f>
        <v>-1289.068</v>
      </c>
      <c r="G18" s="3">
        <f>SUM(C18:F18)</f>
        <v>-2865.765</v>
      </c>
      <c r="H18" s="58">
        <f>-Guidance!G13</f>
        <v>-600</v>
      </c>
      <c r="I18" s="2" t="s">
        <v>511</v>
      </c>
    </row>
    <row r="19">
      <c r="A19" s="1"/>
      <c r="B19" s="1" t="s">
        <v>512</v>
      </c>
      <c r="C19" s="3">
        <f>C20-C18</f>
        <v>0</v>
      </c>
      <c r="D19" s="3">
        <f>D20-D18</f>
        <v>-17</v>
      </c>
      <c r="E19" s="3">
        <f>E20-E18</f>
        <v>0</v>
      </c>
      <c r="F19" s="3">
        <f>F20-F18</f>
        <v>-53.63200000000006</v>
      </c>
      <c r="G19" s="3">
        <f>SUM(C19:F19)</f>
        <v>-70.63200000000006</v>
      </c>
      <c r="H19" s="61">
        <v>0</v>
      </c>
      <c r="I19" s="2"/>
    </row>
    <row r="20">
      <c r="A20" s="1"/>
      <c r="B20" s="14" t="s">
        <v>513</v>
      </c>
      <c r="C20" s="37">
        <f>C66</f>
        <v>-249.42</v>
      </c>
      <c r="D20" s="37">
        <f>D66-C66</f>
        <v>-569.07</v>
      </c>
      <c r="E20" s="37">
        <f>E66-D66</f>
        <v>-775.2069999999999</v>
      </c>
      <c r="F20" s="37">
        <f>F66-E66</f>
        <v>-1342.7</v>
      </c>
      <c r="G20" s="37">
        <f>SUM(C20:F20)</f>
        <v>-2936.397</v>
      </c>
      <c r="H20" s="56">
        <f>H18+H19</f>
        <v>-600</v>
      </c>
      <c r="I20" s="2"/>
    </row>
    <row r="21">
      <c r="A21" s="1"/>
      <c r="B21" s="14" t="s">
        <v>514</v>
      </c>
      <c r="C21" s="35"/>
      <c r="D21" s="35"/>
      <c r="E21" s="35"/>
      <c r="F21" s="35"/>
      <c r="G21" s="35"/>
      <c r="H21" s="36"/>
      <c r="I21" s="2"/>
    </row>
    <row r="22">
      <c r="A22" s="1"/>
      <c r="B22" s="1" t="s">
        <v>515</v>
      </c>
      <c r="C22" s="3">
        <f>C67</f>
        <v>0.065</v>
      </c>
      <c r="D22" s="3">
        <f>D67-C67</f>
        <v>2419.798</v>
      </c>
      <c r="E22" s="3">
        <f>E67-D67</f>
        <v>85</v>
      </c>
      <c r="F22" s="3">
        <f>F67-E67</f>
        <v>2450.4640000000004</v>
      </c>
      <c r="G22" s="3">
        <f>SUM(C22:F22)</f>
        <v>4955.327</v>
      </c>
      <c r="H22" s="58">
        <f>'Income Statement'!H102+H48</f>
        <v>1648.5</v>
      </c>
      <c r="I22" s="2" t="s">
        <v>516</v>
      </c>
    </row>
    <row r="23">
      <c r="A23" s="1"/>
      <c r="B23" s="1" t="s">
        <v>517</v>
      </c>
      <c r="C23" s="3">
        <f>C68</f>
        <v>-2.416</v>
      </c>
      <c r="D23" s="3">
        <f>D68-C68</f>
        <v>-427.87</v>
      </c>
      <c r="E23" s="3">
        <f>E68-D68</f>
        <v>-2.25</v>
      </c>
      <c r="F23" s="3">
        <f>F68-E68</f>
        <v>-88.97599999999994</v>
      </c>
      <c r="G23" s="3">
        <f>SUM(C23:F23)</f>
        <v>-521.512</v>
      </c>
      <c r="H23" s="61">
        <v>-313.3</v>
      </c>
      <c r="I23" s="2" t="s">
        <v>518</v>
      </c>
    </row>
    <row r="24">
      <c r="A24" s="1"/>
      <c r="B24" s="1" t="s">
        <v>519</v>
      </c>
      <c r="C24" s="3">
        <f>C69</f>
        <v>-29.932</v>
      </c>
      <c r="D24" s="3">
        <f>D69-C69</f>
        <v>-40.117000000000004</v>
      </c>
      <c r="E24" s="3">
        <f>E69-D69</f>
        <v>-24.40599999999999</v>
      </c>
      <c r="F24" s="3">
        <f>F69-E69</f>
        <v>-5</v>
      </c>
      <c r="G24" s="3">
        <f>SUM(C24:F24)</f>
        <v>-99.455</v>
      </c>
      <c r="H24" s="44">
        <f>F24</f>
        <v>-5</v>
      </c>
      <c r="I24" s="2" t="s">
        <v>520</v>
      </c>
    </row>
    <row r="25">
      <c r="A25" s="1"/>
      <c r="B25" s="1" t="s">
        <v>521</v>
      </c>
      <c r="C25" s="3">
        <f>C70</f>
        <v>-0.001</v>
      </c>
      <c r="D25" s="3">
        <f>D70-C70</f>
        <v>-78.698</v>
      </c>
      <c r="E25" s="3">
        <f>E70-D70</f>
        <v>-2.4690000000000083</v>
      </c>
      <c r="F25" s="3">
        <f>F70-E70</f>
        <v>-90.71699999999998</v>
      </c>
      <c r="G25" s="3">
        <f>SUM(C25:F25)</f>
        <v>-171.885</v>
      </c>
      <c r="H25" s="61">
        <v>-25</v>
      </c>
      <c r="I25" s="2" t="s">
        <v>522</v>
      </c>
    </row>
    <row r="26">
      <c r="A26" s="1"/>
      <c r="B26" s="1" t="s">
        <v>523</v>
      </c>
      <c r="C26" s="3">
        <f>C71</f>
        <v>196.366</v>
      </c>
      <c r="D26" s="3">
        <f>D71-C71</f>
        <v>0</v>
      </c>
      <c r="E26" s="3">
        <f>E71-D71</f>
        <v>0</v>
      </c>
      <c r="F26" s="3">
        <f>F71-E71</f>
        <v>0</v>
      </c>
      <c r="G26" s="3">
        <f>SUM(C26:F26)</f>
        <v>196.366</v>
      </c>
      <c r="H26" s="61">
        <v>0</v>
      </c>
      <c r="I26" s="2"/>
    </row>
    <row r="27">
      <c r="A27" s="1"/>
      <c r="B27" s="1" t="s">
        <v>524</v>
      </c>
      <c r="C27" s="3">
        <f>C72</f>
        <v>-5.945</v>
      </c>
      <c r="D27" s="3">
        <f>D72-C72</f>
        <v>-0.0039999999999995595</v>
      </c>
      <c r="E27" s="3">
        <f>E72-D72</f>
        <v>0</v>
      </c>
      <c r="F27" s="3">
        <f>F72-E72</f>
        <v>-0.001000000000000334</v>
      </c>
      <c r="G27" s="3">
        <f>SUM(C27:F27)</f>
        <v>-5.95</v>
      </c>
      <c r="H27" s="61">
        <v>0</v>
      </c>
      <c r="I27" s="2"/>
    </row>
    <row r="28">
      <c r="A28" s="1"/>
      <c r="B28" s="1" t="s">
        <v>525</v>
      </c>
      <c r="C28" s="3">
        <f>C73</f>
        <v>175</v>
      </c>
      <c r="D28" s="3">
        <f>D73-C73</f>
        <v>414.999</v>
      </c>
      <c r="E28" s="3">
        <f>E73-D73</f>
        <v>149.99900000000002</v>
      </c>
      <c r="F28" s="3">
        <f>F73-E73</f>
        <v>75</v>
      </c>
      <c r="G28" s="3">
        <f>SUM(C28:F28)</f>
        <v>814.998</v>
      </c>
      <c r="H28" s="61">
        <v>150</v>
      </c>
      <c r="I28" s="2" t="s">
        <v>526</v>
      </c>
    </row>
    <row r="29">
      <c r="A29" s="1"/>
      <c r="B29" s="1" t="s">
        <v>527</v>
      </c>
      <c r="C29" s="3">
        <f>C74</f>
        <v>-4.604</v>
      </c>
      <c r="D29" s="3">
        <f>D74-C74</f>
        <v>-7.191999999999999</v>
      </c>
      <c r="E29" s="3">
        <f>E74-D74</f>
        <v>-0.07200000000000095</v>
      </c>
      <c r="F29" s="3">
        <f>F74-E74</f>
        <v>-0.028999999999999915</v>
      </c>
      <c r="G29" s="3">
        <f>SUM(C29:F29)</f>
        <v>-11.897</v>
      </c>
      <c r="H29" s="61">
        <v>0</v>
      </c>
      <c r="I29" s="2"/>
    </row>
    <row r="30">
      <c r="A30" s="1"/>
      <c r="B30" s="1" t="s">
        <v>528</v>
      </c>
      <c r="C30" s="3">
        <f>C75</f>
        <v>0</v>
      </c>
      <c r="D30" s="3">
        <f>D75-C75</f>
        <v>562.5</v>
      </c>
      <c r="E30" s="3">
        <f>E75-D75</f>
        <v>337.5</v>
      </c>
      <c r="F30" s="3">
        <f>F75-E75</f>
        <v>925</v>
      </c>
      <c r="G30" s="3">
        <f>SUM(C30:F30)</f>
        <v>1825</v>
      </c>
      <c r="H30" s="61">
        <v>0</v>
      </c>
      <c r="I30" s="2" t="s">
        <v>529</v>
      </c>
    </row>
    <row r="31">
      <c r="A31" s="1"/>
      <c r="B31" s="1" t="s">
        <v>530</v>
      </c>
      <c r="C31" s="3">
        <f>C76</f>
        <v>0</v>
      </c>
      <c r="D31" s="3">
        <f>D76-C76</f>
        <v>-61.819</v>
      </c>
      <c r="E31" s="3">
        <f>E76-D76</f>
        <v>-0.19899999999999807</v>
      </c>
      <c r="F31" s="3">
        <f>F76-E76</f>
        <v>-0.8860000000000028</v>
      </c>
      <c r="G31" s="3">
        <f>SUM(C31:F31)</f>
        <v>-62.904</v>
      </c>
      <c r="H31" s="61">
        <v>0</v>
      </c>
      <c r="I31" s="2"/>
    </row>
    <row r="32">
      <c r="A32" s="1"/>
      <c r="B32" s="1" t="s">
        <v>531</v>
      </c>
      <c r="C32" s="3">
        <f>C33-SUM(C22:C31)</f>
        <v>-6.2970000000000255</v>
      </c>
      <c r="D32" s="3">
        <f>D33-SUM(D22:D31)</f>
        <v>-15.026999999999589</v>
      </c>
      <c r="E32" s="3">
        <f>E33-SUM(E22:E31)</f>
        <v>-10.997000000000298</v>
      </c>
      <c r="F32" s="3">
        <f>F33-SUM(F22:F31)</f>
        <v>-8.941000000000258</v>
      </c>
      <c r="G32" s="3">
        <f>SUM(C32:F32)</f>
        <v>-41.26200000000017</v>
      </c>
      <c r="H32" s="58">
        <f>'Income Statement'!H46</f>
        <v>-1.558</v>
      </c>
      <c r="I32" s="2" t="s">
        <v>532</v>
      </c>
    </row>
    <row r="33">
      <c r="A33" s="1"/>
      <c r="B33" s="14" t="s">
        <v>533</v>
      </c>
      <c r="C33" s="37">
        <f>C77</f>
        <v>322.236</v>
      </c>
      <c r="D33" s="37">
        <f>D77-C77</f>
        <v>2766.57</v>
      </c>
      <c r="E33" s="37">
        <f>E77-D77</f>
        <v>532.1059999999998</v>
      </c>
      <c r="F33" s="37">
        <f>F77-E77</f>
        <v>3255.914</v>
      </c>
      <c r="G33" s="37">
        <f>SUM(C33:F33)</f>
        <v>6876.826</v>
      </c>
      <c r="H33" s="56">
        <f>SUM(H22:H32)</f>
        <v>1453.642</v>
      </c>
      <c r="I33" s="2"/>
    </row>
    <row r="34">
      <c r="A34" s="1"/>
      <c r="B34" s="14" t="s">
        <v>534</v>
      </c>
      <c r="C34" s="37">
        <f>C16+C20+C33</f>
        <v>-9.206999999999994</v>
      </c>
      <c r="D34" s="37">
        <f>D16+D20+D33</f>
        <v>2181.655</v>
      </c>
      <c r="E34" s="37">
        <f>E16+E20+E33</f>
        <v>-188.09300000000007</v>
      </c>
      <c r="F34" s="37">
        <f>F16+F20+F33</f>
        <v>2045.7590000000002</v>
      </c>
      <c r="G34" s="37">
        <f>G16+G20+G33</f>
        <v>4030.114</v>
      </c>
      <c r="H34" s="56">
        <f>H16+H20+H33</f>
        <v>899.5094124053905</v>
      </c>
      <c r="I34" s="2"/>
    </row>
    <row r="35">
      <c r="A35" s="1"/>
      <c r="B35" s="1" t="s">
        <v>535</v>
      </c>
      <c r="C35" s="8">
        <v>123.318</v>
      </c>
      <c r="D35" s="3">
        <f>C36</f>
        <v>114.111</v>
      </c>
      <c r="E35" s="3">
        <f>D36</f>
        <v>2295.766</v>
      </c>
      <c r="F35" s="3">
        <f>E36</f>
        <v>2107.673</v>
      </c>
      <c r="G35" s="3">
        <f>C35</f>
        <v>123.318</v>
      </c>
      <c r="H35" s="44">
        <f>F36</f>
        <v>4153.432</v>
      </c>
      <c r="I35" s="2" t="s">
        <v>536</v>
      </c>
    </row>
    <row r="36">
      <c r="A36" s="1"/>
      <c r="B36" s="14" t="s">
        <v>537</v>
      </c>
      <c r="C36" s="37">
        <f>C35+C34</f>
        <v>114.111</v>
      </c>
      <c r="D36" s="37">
        <f>D35+D34</f>
        <v>2295.766</v>
      </c>
      <c r="E36" s="37">
        <f>E35+E34</f>
        <v>2107.673</v>
      </c>
      <c r="F36" s="37">
        <f>F35+F34</f>
        <v>4153.432</v>
      </c>
      <c r="G36" s="37">
        <f>G35+G34</f>
        <v>4153.432</v>
      </c>
      <c r="H36" s="56">
        <f>H35+H34</f>
        <v>5052.94141240539</v>
      </c>
      <c r="I36" s="2"/>
    </row>
    <row r="37">
      <c r="A37" s="1"/>
      <c r="B37" s="1" t="s">
        <v>538</v>
      </c>
      <c r="C37" s="8">
        <v>0.007</v>
      </c>
      <c r="D37" s="8">
        <v>0.002</v>
      </c>
      <c r="E37" s="8">
        <v>0</v>
      </c>
      <c r="F37" s="8">
        <v>0.002</v>
      </c>
      <c r="G37" s="3">
        <f>F37</f>
        <v>0.002</v>
      </c>
      <c r="H37" s="44">
        <f>F37</f>
        <v>0.002</v>
      </c>
      <c r="I37" s="2" t="s">
        <v>431</v>
      </c>
    </row>
    <row r="38">
      <c r="A38" s="1"/>
      <c r="B38" s="14" t="s">
        <v>539</v>
      </c>
      <c r="C38" s="37">
        <f>C36-C37</f>
        <v>114.104</v>
      </c>
      <c r="D38" s="37">
        <f>D36-D37</f>
        <v>2295.764</v>
      </c>
      <c r="E38" s="37">
        <f>E36-E37</f>
        <v>2107.673</v>
      </c>
      <c r="F38" s="37">
        <f>F36-F37</f>
        <v>4153.429999999999</v>
      </c>
      <c r="G38" s="37">
        <f>G36-G37</f>
        <v>4153.429999999999</v>
      </c>
      <c r="H38" s="56">
        <f>H36-H37</f>
        <v>5052.93941240539</v>
      </c>
      <c r="I38" s="2"/>
    </row>
    <row r="39">
      <c r="A39" s="1"/>
      <c r="B39" s="1" t="s">
        <v>540</v>
      </c>
      <c r="C39" s="20">
        <f>'Balance Sheet'!C11+'Balance Sheet'!C12+'Balance Sheet'!C24</f>
        <v>114.104</v>
      </c>
      <c r="D39" s="20">
        <f>'Balance Sheet'!D11+'Balance Sheet'!D12+'Balance Sheet'!D24</f>
        <v>2295.7639999999997</v>
      </c>
      <c r="E39" s="20">
        <f>'Balance Sheet'!E11+'Balance Sheet'!E12+'Balance Sheet'!E24</f>
        <v>2107.6730000000002</v>
      </c>
      <c r="F39" s="20">
        <f>'Balance Sheet'!F11+'Balance Sheet'!F12+'Balance Sheet'!F24</f>
        <v>4153.43</v>
      </c>
      <c r="G39" s="20">
        <f>'Balance Sheet'!G11+'Balance Sheet'!G12+'Balance Sheet'!G24</f>
        <v>4153.43</v>
      </c>
      <c r="H39" s="58">
        <f>'Balance Sheet'!H11+'Balance Sheet'!H12+'Balance Sheet'!H24</f>
        <v>5052.93941240539</v>
      </c>
      <c r="I39" s="2"/>
    </row>
    <row r="40">
      <c r="A40" s="1"/>
      <c r="B40" s="14" t="s">
        <v>541</v>
      </c>
      <c r="C40" s="39">
        <f>ROUND(C38-C39,3)</f>
        <v>0</v>
      </c>
      <c r="D40" s="39">
        <f>ROUND(D38-D39,3)</f>
        <v>0</v>
      </c>
      <c r="E40" s="39">
        <f>ROUND(E38-E39,3)</f>
        <v>0</v>
      </c>
      <c r="F40" s="39">
        <f>ROUND(F38-F39,3)</f>
        <v>0</v>
      </c>
      <c r="G40" s="39">
        <f>ROUND(G38-G39,3)</f>
        <v>0</v>
      </c>
      <c r="H40" s="40">
        <f>ROUND(H38-H39,3)</f>
        <v>0</v>
      </c>
      <c r="I40" s="2"/>
    </row>
    <row r="41">
      <c r="A41" s="1"/>
      <c r="B41" s="14" t="s">
        <v>542</v>
      </c>
      <c r="C41" s="39">
        <f>ROUND(C34-C78,3)</f>
        <v>0</v>
      </c>
      <c r="D41" s="39">
        <f>ROUND(D34-(D78-C78),3)</f>
        <v>0</v>
      </c>
      <c r="E41" s="39">
        <f>ROUND(E34-(E78-D78),3)</f>
        <v>0</v>
      </c>
      <c r="F41" s="39">
        <f>ROUND(F34-(F78-E78),3)</f>
        <v>0</v>
      </c>
      <c r="G41" s="39"/>
      <c r="H41" s="40"/>
      <c r="I41" s="2"/>
    </row>
    <row r="42">
      <c r="A42" s="1"/>
      <c r="B42" s="1" t="s">
        <v>543</v>
      </c>
      <c r="C42" s="3">
        <f>C16+C18</f>
        <v>-331.443</v>
      </c>
      <c r="D42" s="3">
        <f>D16+D18</f>
        <v>-567.9150000000001</v>
      </c>
      <c r="E42" s="3">
        <f>E16+E18</f>
        <v>-720.1989999999998</v>
      </c>
      <c r="F42" s="3">
        <f>F16+F18</f>
        <v>-1156.523</v>
      </c>
      <c r="G42" s="3">
        <f>G16+G18</f>
        <v>-2776.08</v>
      </c>
      <c r="H42" s="44">
        <f>H16+H18</f>
        <v>-554.1325875946095</v>
      </c>
      <c r="I42" s="2"/>
    </row>
    <row r="43">
      <c r="A43" s="1"/>
      <c r="B43" s="1"/>
      <c r="C43" s="7"/>
      <c r="D43" s="7"/>
      <c r="E43" s="7"/>
      <c r="F43" s="7"/>
      <c r="G43" s="7"/>
      <c r="H43" s="42"/>
      <c r="I43" s="2"/>
    </row>
    <row r="44">
      <c r="A44" s="1"/>
      <c r="B44" s="14" t="s">
        <v>544</v>
      </c>
      <c r="C44" s="35"/>
      <c r="D44" s="35"/>
      <c r="E44" s="35"/>
      <c r="F44" s="35"/>
      <c r="G44" s="35"/>
      <c r="H44" s="36"/>
      <c r="I44" s="2"/>
    </row>
    <row r="45">
      <c r="A45" s="1"/>
      <c r="B45" s="1" t="s">
        <v>545</v>
      </c>
      <c r="C45" s="3"/>
      <c r="D45" s="3"/>
      <c r="E45" s="3"/>
      <c r="F45" s="3"/>
      <c r="G45" s="3"/>
      <c r="H45" s="61">
        <v>0.8</v>
      </c>
      <c r="I45" s="2" t="s">
        <v>546</v>
      </c>
    </row>
    <row r="46">
      <c r="A46" s="1"/>
      <c r="B46" s="1" t="s">
        <v>547</v>
      </c>
      <c r="C46" s="3"/>
      <c r="D46" s="3"/>
      <c r="E46" s="3"/>
      <c r="F46" s="3"/>
      <c r="G46" s="3"/>
      <c r="H46" s="61">
        <v>15.7</v>
      </c>
      <c r="I46" s="2" t="s">
        <v>548</v>
      </c>
    </row>
    <row r="47">
      <c r="A47" s="1"/>
      <c r="B47" s="1" t="s">
        <v>549</v>
      </c>
      <c r="C47" s="3"/>
      <c r="D47" s="3"/>
      <c r="E47" s="3"/>
      <c r="F47" s="3"/>
      <c r="G47" s="3"/>
      <c r="H47" s="61">
        <v>9</v>
      </c>
      <c r="I47" s="2" t="s">
        <v>550</v>
      </c>
    </row>
    <row r="48">
      <c r="A48" s="1"/>
      <c r="B48" s="1" t="s">
        <v>551</v>
      </c>
      <c r="C48" s="3"/>
      <c r="D48" s="3"/>
      <c r="E48" s="3"/>
      <c r="F48" s="3"/>
      <c r="G48" s="3"/>
      <c r="H48" s="61">
        <v>58.5</v>
      </c>
      <c r="I48" s="2" t="s">
        <v>492</v>
      </c>
    </row>
    <row r="49">
      <c r="A49" s="1"/>
      <c r="B49" s="1"/>
      <c r="C49" s="7"/>
      <c r="D49" s="7"/>
      <c r="E49" s="7"/>
      <c r="F49" s="7"/>
      <c r="G49" s="7"/>
      <c r="H49" s="42"/>
      <c r="I49" s="2"/>
    </row>
    <row r="50">
      <c r="A50" s="1"/>
      <c r="B50" s="14" t="s">
        <v>552</v>
      </c>
      <c r="C50" s="35"/>
      <c r="D50" s="35"/>
      <c r="E50" s="35"/>
      <c r="F50" s="35"/>
      <c r="G50" s="35"/>
      <c r="H50" s="36"/>
      <c r="I50" s="2"/>
    </row>
    <row r="51">
      <c r="A51" s="1"/>
      <c r="B51" s="1" t="s">
        <v>500</v>
      </c>
      <c r="C51" s="8">
        <v>-16.926</v>
      </c>
      <c r="D51" s="8">
        <v>-31.376</v>
      </c>
      <c r="E51" s="8">
        <v>-101.932</v>
      </c>
      <c r="F51" s="8">
        <v>-184.339</v>
      </c>
      <c r="G51" s="3"/>
      <c r="H51" s="44"/>
      <c r="I51" s="2" t="s">
        <v>431</v>
      </c>
    </row>
    <row r="52">
      <c r="A52" s="1"/>
      <c r="B52" s="1" t="s">
        <v>502</v>
      </c>
      <c r="C52" s="8">
        <v>4.152</v>
      </c>
      <c r="D52" s="8">
        <v>12.739</v>
      </c>
      <c r="E52" s="8">
        <v>33.552</v>
      </c>
      <c r="F52" s="8">
        <v>67.387</v>
      </c>
      <c r="G52" s="3"/>
      <c r="H52" s="44"/>
      <c r="I52" s="2"/>
    </row>
    <row r="53">
      <c r="A53" s="1"/>
      <c r="B53" s="1" t="s">
        <v>503</v>
      </c>
      <c r="C53" s="8">
        <v>15.465</v>
      </c>
      <c r="D53" s="8">
        <v>44.592</v>
      </c>
      <c r="E53" s="8">
        <v>94.741</v>
      </c>
      <c r="F53" s="8">
        <v>220.135</v>
      </c>
      <c r="G53" s="3"/>
      <c r="H53" s="44"/>
      <c r="I53" s="2"/>
    </row>
    <row r="54">
      <c r="A54" s="1"/>
      <c r="B54" s="1" t="s">
        <v>434</v>
      </c>
      <c r="C54" s="8">
        <v>-29.525</v>
      </c>
      <c r="D54" s="8">
        <v>-15.545</v>
      </c>
      <c r="E54" s="8">
        <v>-13.923</v>
      </c>
      <c r="F54" s="8">
        <v>-49.268</v>
      </c>
      <c r="G54" s="3"/>
      <c r="H54" s="44"/>
      <c r="I54" s="2"/>
    </row>
    <row r="55">
      <c r="A55" s="1"/>
      <c r="B55" s="1" t="s">
        <v>435</v>
      </c>
      <c r="C55" s="8">
        <v>-6.962</v>
      </c>
      <c r="D55" s="8">
        <v>-6.247</v>
      </c>
      <c r="E55" s="8">
        <v>-88.229</v>
      </c>
      <c r="F55" s="8">
        <v>-36.164</v>
      </c>
      <c r="G55" s="3"/>
      <c r="H55" s="44"/>
      <c r="I55" s="2"/>
    </row>
    <row r="56">
      <c r="A56" s="1"/>
      <c r="B56" s="1" t="s">
        <v>444</v>
      </c>
      <c r="C56" s="8">
        <v>1.93</v>
      </c>
      <c r="D56" s="8">
        <v>-2.617</v>
      </c>
      <c r="E56" s="8">
        <v>-6.983</v>
      </c>
      <c r="F56" s="8">
        <v>-51.483</v>
      </c>
      <c r="G56" s="3"/>
      <c r="H56" s="44"/>
      <c r="I56" s="2"/>
    </row>
    <row r="57">
      <c r="A57" s="1"/>
      <c r="B57" s="1" t="s">
        <v>456</v>
      </c>
      <c r="C57" s="8">
        <v>0.627</v>
      </c>
      <c r="D57" s="8">
        <v>0.627</v>
      </c>
      <c r="E57" s="8">
        <v>0.627</v>
      </c>
      <c r="F57" s="8">
        <v>0.627</v>
      </c>
      <c r="G57" s="3"/>
      <c r="H57" s="44"/>
      <c r="I57" s="2"/>
    </row>
    <row r="58">
      <c r="A58" s="1"/>
      <c r="B58" s="1" t="s">
        <v>457</v>
      </c>
      <c r="C58" s="8">
        <v>-2.316</v>
      </c>
      <c r="D58" s="8">
        <v>26.002</v>
      </c>
      <c r="E58" s="8">
        <v>8.956</v>
      </c>
      <c r="F58" s="8">
        <v>0.947</v>
      </c>
      <c r="G58" s="3"/>
      <c r="H58" s="44"/>
      <c r="I58" s="2"/>
    </row>
    <row r="59">
      <c r="A59" s="1"/>
      <c r="B59" s="1" t="s">
        <v>451</v>
      </c>
      <c r="C59" s="8">
        <v>-77.784</v>
      </c>
      <c r="D59" s="8">
        <v>-159.003</v>
      </c>
      <c r="E59" s="8">
        <v>-171.583</v>
      </c>
      <c r="F59" s="8">
        <v>-1.182</v>
      </c>
      <c r="G59" s="3"/>
      <c r="H59" s="44"/>
      <c r="I59" s="2"/>
    </row>
    <row r="60">
      <c r="A60" s="1"/>
      <c r="B60" s="1" t="s">
        <v>452</v>
      </c>
      <c r="C60" s="8">
        <v>28.684</v>
      </c>
      <c r="D60" s="8">
        <v>21.026</v>
      </c>
      <c r="E60" s="8">
        <v>64.613</v>
      </c>
      <c r="F60" s="8">
        <v>106.223</v>
      </c>
      <c r="G60" s="3"/>
      <c r="H60" s="44"/>
      <c r="I60" s="2"/>
    </row>
    <row r="61">
      <c r="A61" s="1"/>
      <c r="B61" s="1" t="s">
        <v>458</v>
      </c>
      <c r="C61" s="8">
        <v>-1.753</v>
      </c>
      <c r="D61" s="8">
        <v>-2.149</v>
      </c>
      <c r="E61" s="8">
        <v>-2.149</v>
      </c>
      <c r="F61" s="8">
        <v>5.258</v>
      </c>
      <c r="G61" s="3"/>
      <c r="H61" s="44"/>
      <c r="I61" s="2"/>
    </row>
    <row r="62">
      <c r="A62" s="1"/>
      <c r="B62" s="1" t="s">
        <v>553</v>
      </c>
      <c r="C62" s="8">
        <v>-9.598</v>
      </c>
      <c r="D62" s="8">
        <v>5.207</v>
      </c>
      <c r="E62" s="8">
        <v>14.773</v>
      </c>
      <c r="F62" s="8">
        <v>17.513</v>
      </c>
      <c r="G62" s="3"/>
      <c r="H62" s="44"/>
      <c r="I62" s="2"/>
    </row>
    <row r="63">
      <c r="A63" s="1"/>
      <c r="B63" s="14" t="s">
        <v>554</v>
      </c>
      <c r="C63" s="37">
        <f>SUM(C54:C62)</f>
        <v>-96.697</v>
      </c>
      <c r="D63" s="37">
        <f>SUM(D54:D62)</f>
        <v>-132.69899999999998</v>
      </c>
      <c r="E63" s="37">
        <f>SUM(E54:E62)</f>
        <v>-193.89800000000002</v>
      </c>
      <c r="F63" s="37">
        <f>SUM(F54:F62)</f>
        <v>-7.528999999999996</v>
      </c>
      <c r="G63" s="37"/>
      <c r="H63" s="56"/>
      <c r="I63" s="2"/>
    </row>
    <row r="64">
      <c r="A64" s="1"/>
      <c r="B64" s="14" t="s">
        <v>555</v>
      </c>
      <c r="C64" s="47">
        <v>-82.023</v>
      </c>
      <c r="D64" s="47">
        <v>-97.868</v>
      </c>
      <c r="E64" s="47">
        <v>-42.86</v>
      </c>
      <c r="F64" s="47">
        <v>89.685</v>
      </c>
      <c r="G64" s="37"/>
      <c r="H64" s="56"/>
      <c r="I64" s="2"/>
    </row>
    <row r="65">
      <c r="A65" s="1"/>
      <c r="B65" s="1" t="s">
        <v>510</v>
      </c>
      <c r="C65" s="8">
        <v>-249.42</v>
      </c>
      <c r="D65" s="8">
        <v>-801.49</v>
      </c>
      <c r="E65" s="8">
        <v>-1576.697</v>
      </c>
      <c r="F65" s="8">
        <v>-2865.765</v>
      </c>
      <c r="G65" s="3"/>
      <c r="H65" s="44"/>
      <c r="I65" s="2"/>
    </row>
    <row r="66">
      <c r="A66" s="1"/>
      <c r="B66" s="14" t="s">
        <v>556</v>
      </c>
      <c r="C66" s="47">
        <v>-249.42</v>
      </c>
      <c r="D66" s="47">
        <v>-818.49</v>
      </c>
      <c r="E66" s="47">
        <v>-1593.697</v>
      </c>
      <c r="F66" s="47">
        <v>-2936.397</v>
      </c>
      <c r="G66" s="37"/>
      <c r="H66" s="56"/>
      <c r="I66" s="2"/>
    </row>
    <row r="67">
      <c r="A67" s="1"/>
      <c r="B67" s="1" t="s">
        <v>515</v>
      </c>
      <c r="C67" s="8">
        <v>0.065</v>
      </c>
      <c r="D67" s="8">
        <v>2419.863</v>
      </c>
      <c r="E67" s="8">
        <v>2504.863</v>
      </c>
      <c r="F67" s="8">
        <v>4955.327</v>
      </c>
      <c r="G67" s="3"/>
      <c r="H67" s="44"/>
      <c r="I67" s="2"/>
    </row>
    <row r="68">
      <c r="A68" s="1"/>
      <c r="B68" s="1" t="s">
        <v>517</v>
      </c>
      <c r="C68" s="8">
        <v>-2.416</v>
      </c>
      <c r="D68" s="8">
        <v>-430.286</v>
      </c>
      <c r="E68" s="8">
        <v>-432.536</v>
      </c>
      <c r="F68" s="8">
        <v>-521.512</v>
      </c>
      <c r="G68" s="3"/>
      <c r="H68" s="44"/>
      <c r="I68" s="2"/>
    </row>
    <row r="69">
      <c r="A69" s="1"/>
      <c r="B69" s="1" t="s">
        <v>519</v>
      </c>
      <c r="C69" s="8">
        <v>-29.932</v>
      </c>
      <c r="D69" s="8">
        <v>-70.049</v>
      </c>
      <c r="E69" s="8">
        <v>-94.455</v>
      </c>
      <c r="F69" s="8">
        <v>-99.455</v>
      </c>
      <c r="G69" s="3"/>
      <c r="H69" s="44"/>
      <c r="I69" s="2"/>
    </row>
    <row r="70">
      <c r="A70" s="1"/>
      <c r="B70" s="1" t="s">
        <v>521</v>
      </c>
      <c r="C70" s="8">
        <v>-0.001</v>
      </c>
      <c r="D70" s="8">
        <v>-78.699</v>
      </c>
      <c r="E70" s="8">
        <v>-81.168</v>
      </c>
      <c r="F70" s="8">
        <v>-171.885</v>
      </c>
      <c r="G70" s="3"/>
      <c r="H70" s="44"/>
      <c r="I70" s="2"/>
    </row>
    <row r="71">
      <c r="A71" s="1"/>
      <c r="B71" s="1" t="s">
        <v>523</v>
      </c>
      <c r="C71" s="8">
        <v>196.366</v>
      </c>
      <c r="D71" s="8">
        <v>196.366</v>
      </c>
      <c r="E71" s="8">
        <v>196.366</v>
      </c>
      <c r="F71" s="8">
        <v>196.366</v>
      </c>
      <c r="G71" s="3"/>
      <c r="H71" s="44"/>
      <c r="I71" s="2"/>
    </row>
    <row r="72">
      <c r="A72" s="1"/>
      <c r="B72" s="1" t="s">
        <v>524</v>
      </c>
      <c r="C72" s="8">
        <v>-5.945</v>
      </c>
      <c r="D72" s="8">
        <v>-5.949</v>
      </c>
      <c r="E72" s="8">
        <v>-5.949</v>
      </c>
      <c r="F72" s="8">
        <v>-5.95</v>
      </c>
      <c r="G72" s="3"/>
      <c r="H72" s="44"/>
      <c r="I72" s="2"/>
    </row>
    <row r="73">
      <c r="A73" s="1"/>
      <c r="B73" s="1" t="s">
        <v>525</v>
      </c>
      <c r="C73" s="8">
        <v>175</v>
      </c>
      <c r="D73" s="8">
        <v>589.999</v>
      </c>
      <c r="E73" s="8">
        <v>739.998</v>
      </c>
      <c r="F73" s="8">
        <v>814.998</v>
      </c>
      <c r="G73" s="3"/>
      <c r="H73" s="44"/>
      <c r="I73" s="2"/>
    </row>
    <row r="74">
      <c r="A74" s="1"/>
      <c r="B74" s="1" t="s">
        <v>527</v>
      </c>
      <c r="C74" s="8">
        <v>-4.604</v>
      </c>
      <c r="D74" s="8">
        <v>-11.796</v>
      </c>
      <c r="E74" s="8">
        <v>-11.868</v>
      </c>
      <c r="F74" s="8">
        <v>-11.897</v>
      </c>
      <c r="G74" s="3"/>
      <c r="H74" s="44"/>
      <c r="I74" s="2"/>
    </row>
    <row r="75">
      <c r="A75" s="1"/>
      <c r="B75" s="1" t="s">
        <v>528</v>
      </c>
      <c r="C75" s="8">
        <v>0</v>
      </c>
      <c r="D75" s="8">
        <v>562.5</v>
      </c>
      <c r="E75" s="8">
        <v>900</v>
      </c>
      <c r="F75" s="8">
        <v>1825</v>
      </c>
      <c r="G75" s="3"/>
      <c r="H75" s="44"/>
      <c r="I75" s="2"/>
    </row>
    <row r="76">
      <c r="A76" s="1"/>
      <c r="B76" s="1" t="s">
        <v>530</v>
      </c>
      <c r="C76" s="8">
        <v>0</v>
      </c>
      <c r="D76" s="8">
        <v>-61.819</v>
      </c>
      <c r="E76" s="8">
        <v>-62.018</v>
      </c>
      <c r="F76" s="8">
        <v>-62.904</v>
      </c>
      <c r="G76" s="3"/>
      <c r="H76" s="44"/>
      <c r="I76" s="2"/>
    </row>
    <row r="77">
      <c r="A77" s="1"/>
      <c r="B77" s="14" t="s">
        <v>557</v>
      </c>
      <c r="C77" s="47">
        <v>322.236</v>
      </c>
      <c r="D77" s="47">
        <v>3088.806</v>
      </c>
      <c r="E77" s="47">
        <v>3620.912</v>
      </c>
      <c r="F77" s="47">
        <v>6876.826</v>
      </c>
      <c r="G77" s="37"/>
      <c r="H77" s="56"/>
      <c r="I77" s="2"/>
    </row>
    <row r="78">
      <c r="A78" s="1"/>
      <c r="B78" s="14" t="s">
        <v>558</v>
      </c>
      <c r="C78" s="47">
        <v>-9.207</v>
      </c>
      <c r="D78" s="47">
        <v>2172.448</v>
      </c>
      <c r="E78" s="47">
        <v>1984.355</v>
      </c>
      <c r="F78" s="47">
        <v>4030.114</v>
      </c>
      <c r="G78" s="37"/>
      <c r="H78" s="56"/>
      <c r="I78" s="2"/>
    </row>
    <row r="79">
      <c r="A79" s="1"/>
      <c r="B79" s="1"/>
      <c r="C79" s="7"/>
      <c r="D79" s="7"/>
      <c r="E79" s="7"/>
      <c r="F79" s="7"/>
      <c r="G79" s="7"/>
      <c r="H79" s="42"/>
      <c r="I79" s="2"/>
    </row>
    <row r="80">
      <c r="A80" s="1"/>
      <c r="B80" s="1"/>
      <c r="C80" s="7"/>
      <c r="D80" s="7"/>
      <c r="E80" s="7"/>
      <c r="F80" s="7"/>
      <c r="G80" s="7"/>
      <c r="H80" s="42"/>
      <c r="I80" s="2"/>
    </row>
    <row r="81">
      <c r="A81" s="1"/>
      <c r="B81" s="1"/>
      <c r="C81" s="7"/>
      <c r="D81" s="7"/>
      <c r="E81" s="7"/>
      <c r="F81" s="7"/>
      <c r="G81" s="7"/>
      <c r="H81" s="42"/>
      <c r="I81" s="2"/>
    </row>
  </sheetData>
</worksheet>
</file>

<file path=xl/worksheets/sheet8.xml><?xml version="1.0" encoding="utf-8"?>
<worksheet xmlns="http://schemas.openxmlformats.org/spreadsheetml/2006/main" xmlns:r="http://schemas.openxmlformats.org/officeDocument/2006/relationships">
  <dimension ref="A1:I51"/>
  <sheetViews>
    <sheetView showGridLines="0" workbookViewId="0"/>
  </sheetViews>
  <sheetFormatPr defaultColWidth="8.42578125" defaultRowHeight="15"/>
  <cols>
    <col min="1" max="1" width="2" customWidth="1"/>
    <col min="2" max="2" width="32" customWidth="1"/>
    <col min="3" max="8" width="12" customWidth="1"/>
    <col min="9" max="9" width="70" customWidth="1"/>
  </cols>
  <sheetData>
    <row r="1">
      <c r="A1" s="1"/>
      <c r="B1" s="1"/>
      <c r="C1" s="1"/>
      <c r="D1" s="1"/>
      <c r="E1" s="1"/>
      <c r="F1" s="1"/>
      <c r="G1" s="1"/>
      <c r="H1" s="1"/>
      <c r="I1" s="1"/>
    </row>
    <row r="2">
      <c r="A2" s="1"/>
      <c r="B2" s="28" t="s">
        <v>0</v>
      </c>
      <c r="C2" s="1"/>
      <c r="D2" s="1"/>
      <c r="E2" s="1"/>
      <c r="F2" s="1"/>
      <c r="G2" s="1"/>
      <c r="H2" s="1"/>
      <c r="I2" s="1"/>
    </row>
    <row r="3">
      <c r="A3" s="1"/>
      <c r="B3" s="14" t="s">
        <v>559</v>
      </c>
      <c r="C3" s="1"/>
      <c r="D3" s="1"/>
      <c r="E3" s="1"/>
      <c r="F3" s="1"/>
      <c r="G3" s="1"/>
      <c r="H3" s="1"/>
      <c r="I3" s="1"/>
    </row>
    <row r="4">
      <c r="A4" s="1"/>
      <c r="B4" s="25" t="s">
        <v>560</v>
      </c>
      <c r="C4" s="1"/>
      <c r="D4" s="1"/>
      <c r="E4" s="1"/>
      <c r="F4" s="1"/>
      <c r="G4" s="1"/>
      <c r="H4" s="1"/>
      <c r="I4" s="1"/>
    </row>
    <row r="5">
      <c r="A5" s="1"/>
      <c r="B5" s="1"/>
      <c r="C5" s="1"/>
      <c r="D5" s="1"/>
      <c r="E5" s="1"/>
      <c r="F5" s="1"/>
      <c r="G5" s="1"/>
      <c r="H5" s="1"/>
      <c r="I5" s="1"/>
    </row>
    <row r="6">
      <c r="A6" s="1"/>
      <c r="B6" s="13" t="s">
        <v>3</v>
      </c>
      <c r="C6" s="4" t="s">
        <v>4</v>
      </c>
      <c r="D6" s="4" t="s">
        <v>5</v>
      </c>
      <c r="E6" s="4" t="s">
        <v>6</v>
      </c>
      <c r="F6" s="4" t="s">
        <v>7</v>
      </c>
      <c r="G6" s="4" t="s">
        <v>8</v>
      </c>
      <c r="H6" s="57" t="s">
        <v>9</v>
      </c>
      <c r="I6" s="13" t="s">
        <v>10</v>
      </c>
    </row>
    <row r="7">
      <c r="A7" s="1"/>
      <c r="B7" s="6" t="s">
        <v>11</v>
      </c>
      <c r="C7" s="5">
        <v>45900</v>
      </c>
      <c r="D7" s="5">
        <v>45991</v>
      </c>
      <c r="E7" s="5">
        <v>46081</v>
      </c>
      <c r="F7" s="5">
        <v>46173</v>
      </c>
      <c r="G7" s="5">
        <v>46173</v>
      </c>
      <c r="H7" s="59">
        <v>46265</v>
      </c>
      <c r="I7" s="6"/>
    </row>
    <row r="8">
      <c r="A8" s="1"/>
      <c r="B8" s="11" t="s">
        <v>12</v>
      </c>
      <c r="C8" s="9">
        <v>92</v>
      </c>
      <c r="D8" s="9">
        <v>91</v>
      </c>
      <c r="E8" s="9">
        <v>90</v>
      </c>
      <c r="F8" s="9">
        <v>92</v>
      </c>
      <c r="G8" s="9">
        <v>365</v>
      </c>
      <c r="H8" s="53">
        <v>92</v>
      </c>
      <c r="I8" s="11"/>
    </row>
    <row r="9">
      <c r="A9" s="1"/>
      <c r="B9" s="1"/>
      <c r="C9" s="1"/>
      <c r="D9" s="1"/>
      <c r="E9" s="1"/>
      <c r="F9" s="1"/>
      <c r="G9" s="1"/>
      <c r="H9" s="1"/>
      <c r="I9" s="1"/>
    </row>
    <row r="10">
      <c r="A10" s="1"/>
      <c r="B10" s="14" t="s">
        <v>561</v>
      </c>
      <c r="C10" s="35"/>
      <c r="D10" s="35"/>
      <c r="E10" s="35"/>
      <c r="F10" s="35"/>
      <c r="G10" s="35"/>
      <c r="H10" s="36"/>
      <c r="I10" s="2"/>
    </row>
    <row r="11">
      <c r="A11" s="1"/>
      <c r="B11" s="14" t="s">
        <v>562</v>
      </c>
      <c r="C11" s="47">
        <v>278.584</v>
      </c>
      <c r="D11" s="47">
        <v>279.083</v>
      </c>
      <c r="E11" s="47">
        <v>285.384</v>
      </c>
      <c r="F11" s="47">
        <v>287.884</v>
      </c>
      <c r="G11" s="37">
        <f>F11</f>
        <v>287.884</v>
      </c>
      <c r="H11" s="56">
        <f>F11+H14+H15</f>
        <v>291.672</v>
      </c>
      <c r="I11" s="2" t="s">
        <v>563</v>
      </c>
    </row>
    <row r="12">
      <c r="A12" s="1"/>
      <c r="B12" s="1" t="s">
        <v>93</v>
      </c>
      <c r="C12" s="3" t="s">
        <v>40</v>
      </c>
      <c r="D12" s="3">
        <f>IFERROR(D11-C11,"n/a")</f>
        <v>0.49900000000002365</v>
      </c>
      <c r="E12" s="3">
        <f>IFERROR(E11-D11,"n/a")</f>
        <v>6.300999999999988</v>
      </c>
      <c r="F12" s="3">
        <f>IFERROR(F11-E11,"n/a")</f>
        <v>2.5</v>
      </c>
      <c r="G12" s="3" t="s">
        <v>40</v>
      </c>
      <c r="H12" s="44">
        <f>IFERROR(H11-F11,"n/a")</f>
        <v>3.788000000000011</v>
      </c>
      <c r="I12" s="2"/>
    </row>
    <row r="13">
      <c r="A13" s="1"/>
      <c r="B13" s="1" t="s">
        <v>94</v>
      </c>
      <c r="C13" s="3" t="s">
        <v>40</v>
      </c>
      <c r="D13" s="3" t="s">
        <v>40</v>
      </c>
      <c r="E13" s="3" t="s">
        <v>40</v>
      </c>
      <c r="F13" s="3" t="s">
        <v>40</v>
      </c>
      <c r="G13" s="3" t="s">
        <v>40</v>
      </c>
      <c r="H13" s="44">
        <f>IFERROR(H11-C11,"n/a")</f>
        <v>13.088000000000022</v>
      </c>
      <c r="I13" s="2"/>
    </row>
    <row r="14">
      <c r="A14" s="1"/>
      <c r="B14" s="1" t="s">
        <v>564</v>
      </c>
      <c r="C14" s="3" t="s">
        <v>40</v>
      </c>
      <c r="D14" s="3" t="s">
        <v>40</v>
      </c>
      <c r="E14" s="3" t="s">
        <v>40</v>
      </c>
      <c r="F14" s="3" t="s">
        <v>40</v>
      </c>
      <c r="G14" s="3" t="s">
        <v>40</v>
      </c>
      <c r="H14" s="61">
        <v>1.788</v>
      </c>
      <c r="I14" s="2" t="s">
        <v>565</v>
      </c>
    </row>
    <row r="15">
      <c r="A15" s="1"/>
      <c r="B15" s="1" t="s">
        <v>566</v>
      </c>
      <c r="C15" s="3" t="s">
        <v>40</v>
      </c>
      <c r="D15" s="3" t="s">
        <v>40</v>
      </c>
      <c r="E15" s="3" t="s">
        <v>40</v>
      </c>
      <c r="F15" s="3" t="s">
        <v>40</v>
      </c>
      <c r="G15" s="3" t="s">
        <v>40</v>
      </c>
      <c r="H15" s="61">
        <v>2</v>
      </c>
      <c r="I15" s="2" t="s">
        <v>567</v>
      </c>
    </row>
    <row r="16">
      <c r="A16" s="1"/>
      <c r="B16" s="1" t="s">
        <v>568</v>
      </c>
      <c r="C16" s="8">
        <v>9.291</v>
      </c>
      <c r="D16" s="8">
        <v>7.165</v>
      </c>
      <c r="E16" s="8">
        <v>7.165</v>
      </c>
      <c r="F16" s="8">
        <v>7.165</v>
      </c>
      <c r="G16" s="3">
        <f>F16</f>
        <v>7.165</v>
      </c>
      <c r="H16" s="44">
        <f>F16</f>
        <v>7.165</v>
      </c>
      <c r="I16" s="2" t="s">
        <v>431</v>
      </c>
    </row>
    <row r="17">
      <c r="A17" s="1"/>
      <c r="B17" s="14" t="s">
        <v>569</v>
      </c>
      <c r="C17" s="47">
        <v>255.893</v>
      </c>
      <c r="D17" s="47">
        <v>277.424</v>
      </c>
      <c r="E17" s="47">
        <v>281.983</v>
      </c>
      <c r="F17" s="47">
        <v>285.652</v>
      </c>
      <c r="G17" s="47">
        <v>275.195</v>
      </c>
      <c r="H17" s="56">
        <f>AVERAGE(F11,H11)</f>
        <v>289.778</v>
      </c>
      <c r="I17" s="2" t="s">
        <v>570</v>
      </c>
    </row>
    <row r="18">
      <c r="A18" s="1"/>
      <c r="B18" s="1" t="s">
        <v>74</v>
      </c>
      <c r="C18" s="8">
        <v>149.099</v>
      </c>
      <c r="D18" s="8">
        <v>209.56</v>
      </c>
      <c r="E18" s="8">
        <v>222.455</v>
      </c>
      <c r="F18" s="8">
        <v>222.455</v>
      </c>
      <c r="G18" s="8">
        <v>201.194</v>
      </c>
      <c r="H18" s="44">
        <f>C17</f>
        <v>255.893</v>
      </c>
      <c r="I18" s="2" t="s">
        <v>571</v>
      </c>
    </row>
    <row r="19">
      <c r="A19" s="1"/>
      <c r="B19" s="1" t="s">
        <v>94</v>
      </c>
      <c r="C19" s="3">
        <f>IFERROR(C17-C18,"n/a")</f>
        <v>106.79400000000001</v>
      </c>
      <c r="D19" s="3">
        <f>IFERROR(D17-D18,"n/a")</f>
        <v>67.86399999999998</v>
      </c>
      <c r="E19" s="3">
        <f>IFERROR(E17-E18,"n/a")</f>
        <v>59.52799999999999</v>
      </c>
      <c r="F19" s="3">
        <f>IFERROR(F17-F18,"n/a")</f>
        <v>63.196999999999974</v>
      </c>
      <c r="G19" s="3">
        <f>IFERROR(G17-G18,"n/a")</f>
        <v>74.001</v>
      </c>
      <c r="H19" s="44">
        <f>IFERROR(H17-C17,"n/a")</f>
        <v>33.88500000000002</v>
      </c>
      <c r="I19" s="2"/>
    </row>
    <row r="20">
      <c r="A20" s="1"/>
      <c r="B20" s="1" t="s">
        <v>93</v>
      </c>
      <c r="C20" s="3">
        <f>IFERROR(C17-F18,"n/a")</f>
        <v>33.43799999999999</v>
      </c>
      <c r="D20" s="3">
        <f>IFERROR(D17-C17,"n/a")</f>
        <v>21.530999999999977</v>
      </c>
      <c r="E20" s="3">
        <f>IFERROR(E17-D17,"n/a")</f>
        <v>4.559000000000026</v>
      </c>
      <c r="F20" s="3">
        <f>IFERROR(F17-E17,"n/a")</f>
        <v>3.6689999999999827</v>
      </c>
      <c r="G20" s="3" t="s">
        <v>40</v>
      </c>
      <c r="H20" s="44">
        <f>IFERROR(H17-F17,"n/a")</f>
        <v>4.126000000000033</v>
      </c>
      <c r="I20" s="2"/>
    </row>
    <row r="21">
      <c r="A21" s="1"/>
      <c r="B21" s="1"/>
      <c r="C21" s="7"/>
      <c r="D21" s="7"/>
      <c r="E21" s="7"/>
      <c r="F21" s="7"/>
      <c r="G21" s="7"/>
      <c r="H21" s="42"/>
      <c r="I21" s="2"/>
    </row>
    <row r="22">
      <c r="A22" s="1"/>
      <c r="B22" s="14" t="s">
        <v>572</v>
      </c>
      <c r="C22" s="35"/>
      <c r="D22" s="35"/>
      <c r="E22" s="35"/>
      <c r="F22" s="35"/>
      <c r="G22" s="35"/>
      <c r="H22" s="36"/>
      <c r="I22" s="2"/>
    </row>
    <row r="23">
      <c r="A23" s="1"/>
      <c r="B23" s="1" t="s">
        <v>573</v>
      </c>
      <c r="C23" s="8">
        <v>255.893</v>
      </c>
      <c r="D23" s="3" t="s">
        <v>40</v>
      </c>
      <c r="E23" s="8">
        <v>382.306</v>
      </c>
      <c r="F23" s="8">
        <v>330.239</v>
      </c>
      <c r="G23" s="8">
        <v>318.968</v>
      </c>
      <c r="H23" s="44"/>
      <c r="I23" s="2" t="s">
        <v>574</v>
      </c>
    </row>
    <row r="24">
      <c r="A24" s="1"/>
      <c r="B24" s="1" t="s">
        <v>575</v>
      </c>
      <c r="C24" s="8">
        <v>46.144</v>
      </c>
      <c r="D24" s="3">
        <f>C24</f>
        <v>46.144</v>
      </c>
      <c r="E24" s="3">
        <f>C24</f>
        <v>46.144</v>
      </c>
      <c r="F24" s="3">
        <f>C24</f>
        <v>46.144</v>
      </c>
      <c r="G24" s="3">
        <f>C24</f>
        <v>46.144</v>
      </c>
      <c r="H24" s="44">
        <f>C24</f>
        <v>46.144</v>
      </c>
      <c r="I24" s="2" t="s">
        <v>576</v>
      </c>
    </row>
    <row r="25">
      <c r="A25" s="1"/>
      <c r="B25" s="1" t="s">
        <v>577</v>
      </c>
      <c r="C25" s="8">
        <v>0</v>
      </c>
      <c r="D25" s="8">
        <v>0</v>
      </c>
      <c r="E25" s="3">
        <f>E24</f>
        <v>46.144</v>
      </c>
      <c r="F25" s="8">
        <v>0</v>
      </c>
      <c r="G25" s="8">
        <v>0</v>
      </c>
      <c r="H25" s="44">
        <f>IF(H32=1,H24,0)</f>
        <v>0</v>
      </c>
      <c r="I25" s="2" t="s">
        <v>578</v>
      </c>
    </row>
    <row r="26">
      <c r="A26" s="1"/>
      <c r="B26" s="1" t="s">
        <v>579</v>
      </c>
      <c r="C26" s="8">
        <v>0</v>
      </c>
      <c r="D26" s="3" t="s">
        <v>40</v>
      </c>
      <c r="E26" s="3">
        <f>E23-E17-E25</f>
        <v>54.17899999999998</v>
      </c>
      <c r="F26" s="3">
        <f>F23-F17-F25</f>
        <v>44.58699999999999</v>
      </c>
      <c r="G26" s="3">
        <f>G23-G17-G25</f>
        <v>43.773000000000025</v>
      </c>
      <c r="H26" s="61">
        <v>42</v>
      </c>
      <c r="I26" s="2" t="s">
        <v>580</v>
      </c>
    </row>
    <row r="27">
      <c r="A27" s="1"/>
      <c r="B27" s="1" t="s">
        <v>93</v>
      </c>
      <c r="C27" s="3" t="s">
        <v>40</v>
      </c>
      <c r="D27" s="3" t="str">
        <f>IFERROR(D26-C26,"n/a")</f>
        <v>n/a</v>
      </c>
      <c r="E27" s="3" t="str">
        <f>IFERROR(E26-D26,"n/a")</f>
        <v>n/a</v>
      </c>
      <c r="F27" s="3">
        <f>IFERROR(F26-E26,"n/a")</f>
        <v>-9.591999999999992</v>
      </c>
      <c r="G27" s="3" t="s">
        <v>40</v>
      </c>
      <c r="H27" s="44">
        <f>IFERROR(H26-F26,"n/a")</f>
        <v>-2.586999999999989</v>
      </c>
      <c r="I27" s="2"/>
    </row>
    <row r="28">
      <c r="A28" s="1"/>
      <c r="B28" s="1" t="s">
        <v>94</v>
      </c>
      <c r="C28" s="3" t="s">
        <v>40</v>
      </c>
      <c r="D28" s="3" t="s">
        <v>40</v>
      </c>
      <c r="E28" s="3" t="s">
        <v>40</v>
      </c>
      <c r="F28" s="3" t="s">
        <v>40</v>
      </c>
      <c r="G28" s="3" t="s">
        <v>40</v>
      </c>
      <c r="H28" s="44">
        <f>IFERROR(H26-C26,"n/a")</f>
        <v>42</v>
      </c>
      <c r="I28" s="2"/>
    </row>
    <row r="29">
      <c r="A29" s="1"/>
      <c r="B29" s="1" t="s">
        <v>581</v>
      </c>
      <c r="C29" s="3"/>
      <c r="D29" s="3"/>
      <c r="E29" s="3"/>
      <c r="F29" s="3"/>
      <c r="G29" s="3"/>
      <c r="H29" s="44">
        <f>H30*H31*H$8/365</f>
        <v>3.1191780821917807</v>
      </c>
      <c r="I29" s="2"/>
    </row>
    <row r="30">
      <c r="A30" s="1"/>
      <c r="B30" s="1" t="s">
        <v>582</v>
      </c>
      <c r="C30" s="3"/>
      <c r="D30" s="3"/>
      <c r="E30" s="3"/>
      <c r="F30" s="3"/>
      <c r="G30" s="3"/>
      <c r="H30" s="61">
        <v>450</v>
      </c>
      <c r="I30" s="2" t="s">
        <v>583</v>
      </c>
    </row>
    <row r="31">
      <c r="A31" s="1"/>
      <c r="B31" s="25" t="s">
        <v>584</v>
      </c>
      <c r="C31" s="23"/>
      <c r="D31" s="23"/>
      <c r="E31" s="23"/>
      <c r="F31" s="23"/>
      <c r="G31" s="23"/>
      <c r="H31" s="46">
        <v>0.0275</v>
      </c>
      <c r="I31" s="2" t="s">
        <v>585</v>
      </c>
    </row>
    <row r="32">
      <c r="A32" s="1"/>
      <c r="B32" s="1" t="s">
        <v>586</v>
      </c>
      <c r="C32" s="41"/>
      <c r="D32" s="41"/>
      <c r="E32" s="41"/>
      <c r="F32" s="41"/>
      <c r="G32" s="41"/>
      <c r="H32" s="49">
        <f>IF(AND('Income Statement'!H74&gt;0,H29/H24&lt;'Income Statement'!H74/(H17+H26)),1,0)</f>
        <v>0</v>
      </c>
      <c r="I32" s="2" t="s">
        <v>587</v>
      </c>
    </row>
    <row r="33">
      <c r="A33" s="1"/>
      <c r="B33" s="14" t="s">
        <v>588</v>
      </c>
      <c r="C33" s="37">
        <f>IF(ISNUMBER(C23),C23,C17)</f>
        <v>255.893</v>
      </c>
      <c r="D33" s="37">
        <f>IF(ISNUMBER(D23),D23,D17)</f>
        <v>277.424</v>
      </c>
      <c r="E33" s="37">
        <f>IF(ISNUMBER(E23),E23,E17)</f>
        <v>382.306</v>
      </c>
      <c r="F33" s="37">
        <f>IF(ISNUMBER(F23),F23,F17)</f>
        <v>330.239</v>
      </c>
      <c r="G33" s="37">
        <f>IF(ISNUMBER(G23),G23,G17)</f>
        <v>318.968</v>
      </c>
      <c r="H33" s="56">
        <f>H17+H26+H25</f>
        <v>331.778</v>
      </c>
      <c r="I33" s="2" t="s">
        <v>589</v>
      </c>
    </row>
    <row r="34">
      <c r="A34" s="1"/>
      <c r="B34" s="1" t="s">
        <v>74</v>
      </c>
      <c r="C34" s="3">
        <f>C18</f>
        <v>149.099</v>
      </c>
      <c r="D34" s="3">
        <f>D18</f>
        <v>209.56</v>
      </c>
      <c r="E34" s="3">
        <f>E18</f>
        <v>222.455</v>
      </c>
      <c r="F34" s="3">
        <f>F18</f>
        <v>222.455</v>
      </c>
      <c r="G34" s="3">
        <f>G18</f>
        <v>201.194</v>
      </c>
      <c r="H34" s="44">
        <f>C33</f>
        <v>255.893</v>
      </c>
      <c r="I34" s="2" t="s">
        <v>590</v>
      </c>
    </row>
    <row r="35">
      <c r="A35" s="1"/>
      <c r="B35" s="1" t="s">
        <v>94</v>
      </c>
      <c r="C35" s="3">
        <f>IFERROR(C33-C34,"n/a")</f>
        <v>106.79400000000001</v>
      </c>
      <c r="D35" s="3">
        <f>IFERROR(D33-D34,"n/a")</f>
        <v>67.86399999999998</v>
      </c>
      <c r="E35" s="3">
        <f>IFERROR(E33-E34,"n/a")</f>
        <v>159.85099999999997</v>
      </c>
      <c r="F35" s="3">
        <f>IFERROR(F33-F34,"n/a")</f>
        <v>107.78399999999996</v>
      </c>
      <c r="G35" s="3">
        <f>IFERROR(G33-G34,"n/a")</f>
        <v>117.77400000000003</v>
      </c>
      <c r="H35" s="44">
        <f>IFERROR(H33-C33,"n/a")</f>
        <v>75.88500000000002</v>
      </c>
      <c r="I35" s="2"/>
    </row>
    <row r="36">
      <c r="A36" s="1"/>
      <c r="B36" s="1" t="s">
        <v>93</v>
      </c>
      <c r="C36" s="3">
        <f>IFERROR(C33-F34,"n/a")</f>
        <v>33.43799999999999</v>
      </c>
      <c r="D36" s="3">
        <f>IFERROR(D33-C33,"n/a")</f>
        <v>21.530999999999977</v>
      </c>
      <c r="E36" s="3">
        <f>IFERROR(E33-D33,"n/a")</f>
        <v>104.882</v>
      </c>
      <c r="F36" s="3">
        <f>IFERROR(F33-E33,"n/a")</f>
        <v>-52.06700000000001</v>
      </c>
      <c r="G36" s="3" t="s">
        <v>40</v>
      </c>
      <c r="H36" s="44">
        <f>IFERROR(H33-F33,"n/a")</f>
        <v>1.539000000000044</v>
      </c>
      <c r="I36" s="2"/>
    </row>
    <row r="37">
      <c r="A37" s="1"/>
      <c r="B37" s="14" t="s">
        <v>591</v>
      </c>
      <c r="C37" s="39"/>
      <c r="D37" s="39"/>
      <c r="E37" s="39"/>
      <c r="F37" s="39"/>
      <c r="G37" s="39"/>
      <c r="H37" s="40">
        <f>H33</f>
        <v>331.778</v>
      </c>
      <c r="I37" s="2"/>
    </row>
    <row r="38">
      <c r="A38" s="1"/>
      <c r="B38" s="1"/>
      <c r="C38" s="7"/>
      <c r="D38" s="7"/>
      <c r="E38" s="7"/>
      <c r="F38" s="7"/>
      <c r="G38" s="7"/>
      <c r="H38" s="42"/>
      <c r="I38" s="2"/>
    </row>
    <row r="39">
      <c r="A39" s="1"/>
      <c r="B39" s="14" t="s">
        <v>592</v>
      </c>
      <c r="C39" s="35"/>
      <c r="D39" s="35"/>
      <c r="E39" s="35"/>
      <c r="F39" s="35"/>
      <c r="G39" s="35"/>
      <c r="H39" s="36"/>
      <c r="I39" s="2"/>
    </row>
    <row r="40">
      <c r="A40" s="1"/>
      <c r="B40" s="1" t="s">
        <v>593</v>
      </c>
      <c r="C40" s="8">
        <v>0</v>
      </c>
      <c r="D40" s="8">
        <v>0</v>
      </c>
      <c r="E40" s="8">
        <v>0</v>
      </c>
      <c r="F40" s="8">
        <v>0</v>
      </c>
      <c r="G40" s="3">
        <f>SUM(C40:F40)</f>
        <v>0</v>
      </c>
      <c r="H40" s="61">
        <v>0</v>
      </c>
      <c r="I40" s="2" t="s">
        <v>594</v>
      </c>
    </row>
    <row r="41">
      <c r="A41" s="1"/>
      <c r="B41" s="1" t="s">
        <v>595</v>
      </c>
      <c r="C41" s="20">
        <f>'Cash Flow Statement'!C26</f>
        <v>196.366</v>
      </c>
      <c r="D41" s="20">
        <f>'Cash Flow Statement'!D26</f>
        <v>0</v>
      </c>
      <c r="E41" s="20">
        <f>'Cash Flow Statement'!E26</f>
        <v>0</v>
      </c>
      <c r="F41" s="20">
        <f>'Cash Flow Statement'!F26</f>
        <v>0</v>
      </c>
      <c r="G41" s="20">
        <f>'Cash Flow Statement'!G26</f>
        <v>196.366</v>
      </c>
      <c r="H41" s="58">
        <f>'Cash Flow Statement'!H26</f>
        <v>0</v>
      </c>
      <c r="I41" s="2" t="s">
        <v>596</v>
      </c>
    </row>
    <row r="42">
      <c r="A42" s="1"/>
      <c r="B42" s="1" t="s">
        <v>597</v>
      </c>
      <c r="C42" s="20">
        <f>'Cash Flow Statement'!C28</f>
        <v>175</v>
      </c>
      <c r="D42" s="20">
        <f>'Cash Flow Statement'!D28</f>
        <v>414.999</v>
      </c>
      <c r="E42" s="20">
        <f>'Cash Flow Statement'!E28</f>
        <v>149.99900000000002</v>
      </c>
      <c r="F42" s="20">
        <f>'Cash Flow Statement'!F28</f>
        <v>75</v>
      </c>
      <c r="G42" s="20">
        <f>'Cash Flow Statement'!G28</f>
        <v>814.998</v>
      </c>
      <c r="H42" s="58">
        <f>'Cash Flow Statement'!H28</f>
        <v>150</v>
      </c>
      <c r="I42" s="2" t="s">
        <v>598</v>
      </c>
    </row>
    <row r="43">
      <c r="A43" s="1"/>
      <c r="B43" s="1" t="s">
        <v>599</v>
      </c>
      <c r="C43" s="8">
        <v>242.48</v>
      </c>
      <c r="D43" s="8">
        <v>608.297</v>
      </c>
      <c r="E43" s="8">
        <v>800.214</v>
      </c>
      <c r="F43" s="8">
        <v>875.185</v>
      </c>
      <c r="G43" s="3"/>
      <c r="H43" s="44"/>
      <c r="I43" s="2" t="s">
        <v>600</v>
      </c>
    </row>
    <row r="44">
      <c r="A44" s="1"/>
      <c r="B44" s="1" t="s">
        <v>601</v>
      </c>
      <c r="C44" s="3">
        <f>C43</f>
        <v>242.48</v>
      </c>
      <c r="D44" s="3">
        <f>D43-C43</f>
        <v>365.817</v>
      </c>
      <c r="E44" s="3">
        <f>E43-D43</f>
        <v>191.91700000000003</v>
      </c>
      <c r="F44" s="3">
        <f>F43-E43</f>
        <v>74.97099999999989</v>
      </c>
      <c r="G44" s="3">
        <f>SUM(C44:F44)</f>
        <v>875.185</v>
      </c>
      <c r="H44" s="44" t="s">
        <v>40</v>
      </c>
      <c r="I44" s="2"/>
    </row>
    <row r="45">
      <c r="A45" s="1"/>
      <c r="B45" s="1"/>
      <c r="C45" s="7"/>
      <c r="D45" s="7"/>
      <c r="E45" s="7"/>
      <c r="F45" s="7"/>
      <c r="G45" s="7"/>
      <c r="H45" s="42"/>
      <c r="I45" s="2"/>
    </row>
    <row r="46">
      <c r="A46" s="1"/>
      <c r="B46" s="14" t="s">
        <v>602</v>
      </c>
      <c r="C46" s="35"/>
      <c r="D46" s="35"/>
      <c r="E46" s="35"/>
      <c r="F46" s="35"/>
      <c r="G46" s="35"/>
      <c r="H46" s="36"/>
      <c r="I46" s="2"/>
    </row>
    <row r="47">
      <c r="A47" s="1"/>
      <c r="B47" s="1" t="s">
        <v>603</v>
      </c>
      <c r="C47" s="32"/>
      <c r="D47" s="32"/>
      <c r="E47" s="32"/>
      <c r="F47" s="32"/>
      <c r="G47" s="32"/>
      <c r="H47" s="38">
        <f>Inputs!C101</f>
        <v>25.38</v>
      </c>
      <c r="I47" s="2" t="s">
        <v>604</v>
      </c>
    </row>
    <row r="48">
      <c r="A48" s="1"/>
      <c r="B48" s="14" t="s">
        <v>605</v>
      </c>
      <c r="C48" s="39"/>
      <c r="D48" s="39"/>
      <c r="E48" s="39"/>
      <c r="F48" s="39"/>
      <c r="G48" s="39"/>
      <c r="H48" s="40">
        <f>H47*H11</f>
        <v>7402.63536</v>
      </c>
      <c r="I48" s="2" t="s">
        <v>606</v>
      </c>
    </row>
    <row r="49">
      <c r="A49" s="1"/>
      <c r="B49" s="1"/>
      <c r="C49" s="7"/>
      <c r="D49" s="7"/>
      <c r="E49" s="7"/>
      <c r="F49" s="7"/>
      <c r="G49" s="7"/>
      <c r="H49" s="42"/>
      <c r="I49" s="2"/>
    </row>
    <row r="50">
      <c r="A50" s="1"/>
      <c r="B50" s="1"/>
      <c r="C50" s="7"/>
      <c r="D50" s="7"/>
      <c r="E50" s="7"/>
      <c r="F50" s="7"/>
      <c r="G50" s="7"/>
      <c r="H50" s="42"/>
      <c r="I50" s="2"/>
    </row>
    <row r="51">
      <c r="A51" s="1"/>
      <c r="B51" s="1"/>
      <c r="C51" s="7"/>
      <c r="D51" s="7"/>
      <c r="E51" s="7"/>
      <c r="F51" s="7"/>
      <c r="G51" s="7"/>
      <c r="H51" s="42"/>
      <c r="I51" s="2"/>
    </row>
  </sheetData>
</worksheet>
</file>

<file path=xl/worksheets/sheet9.xml><?xml version="1.0" encoding="utf-8"?>
<worksheet xmlns="http://schemas.openxmlformats.org/spreadsheetml/2006/main" xmlns:r="http://schemas.openxmlformats.org/officeDocument/2006/relationships">
  <dimension ref="A1:J23"/>
  <sheetViews>
    <sheetView showGridLines="0" workbookViewId="0"/>
  </sheetViews>
  <sheetFormatPr defaultColWidth="8.42578125" defaultRowHeight="15"/>
  <cols>
    <col min="1" max="1" width="2" customWidth="1"/>
    <col min="2" max="2" width="32" customWidth="1"/>
    <col min="3" max="8" width="12" customWidth="1"/>
    <col min="9" max="9" width="20" customWidth="1"/>
    <col min="10" max="10" width="75" customWidth="1"/>
  </cols>
  <sheetData>
    <row r="1">
      <c r="A1" s="1"/>
      <c r="B1" s="1"/>
      <c r="C1" s="1"/>
      <c r="D1" s="1"/>
      <c r="E1" s="1"/>
      <c r="F1" s="1"/>
      <c r="G1" s="1"/>
      <c r="H1" s="1"/>
      <c r="I1" s="1"/>
      <c r="J1" s="1"/>
    </row>
    <row r="2">
      <c r="A2" s="1"/>
      <c r="B2" s="28" t="s">
        <v>0</v>
      </c>
      <c r="C2" s="1"/>
      <c r="D2" s="1"/>
      <c r="E2" s="1"/>
      <c r="F2" s="1"/>
      <c r="G2" s="1"/>
      <c r="H2" s="1"/>
      <c r="I2" s="1"/>
      <c r="J2" s="1"/>
    </row>
    <row r="3">
      <c r="A3" s="1"/>
      <c r="B3" s="14" t="s">
        <v>607</v>
      </c>
      <c r="C3" s="1"/>
      <c r="D3" s="1"/>
      <c r="E3" s="1"/>
      <c r="F3" s="1"/>
      <c r="G3" s="1"/>
      <c r="H3" s="1"/>
      <c r="I3" s="1"/>
      <c r="J3" s="1"/>
    </row>
    <row r="4">
      <c r="A4" s="1"/>
      <c r="B4" s="25" t="s">
        <v>2</v>
      </c>
      <c r="C4" s="1"/>
      <c r="D4" s="1"/>
      <c r="E4" s="1"/>
      <c r="F4" s="1"/>
      <c r="G4" s="1"/>
      <c r="H4" s="1"/>
      <c r="I4" s="1"/>
      <c r="J4" s="1"/>
    </row>
    <row r="5">
      <c r="A5" s="1"/>
      <c r="B5" s="1"/>
      <c r="C5" s="1"/>
      <c r="D5" s="1"/>
      <c r="E5" s="1"/>
      <c r="F5" s="1"/>
      <c r="G5" s="1"/>
      <c r="H5" s="1"/>
      <c r="I5" s="1"/>
      <c r="J5" s="1"/>
    </row>
    <row r="6">
      <c r="A6" s="1"/>
      <c r="B6" s="13"/>
      <c r="C6" s="4"/>
      <c r="D6" s="4"/>
      <c r="E6" s="4"/>
      <c r="F6" s="4"/>
      <c r="G6" s="4"/>
      <c r="H6" s="4"/>
      <c r="I6" s="13"/>
      <c r="J6" s="13"/>
    </row>
    <row r="7">
      <c r="A7" s="1"/>
      <c r="B7" s="6"/>
      <c r="C7" s="5"/>
      <c r="D7" s="5"/>
      <c r="E7" s="5"/>
      <c r="F7" s="5"/>
      <c r="G7" s="5"/>
      <c r="H7" s="5"/>
      <c r="I7" s="6"/>
      <c r="J7" s="6"/>
    </row>
    <row r="8">
      <c r="A8" s="1"/>
      <c r="B8" s="11"/>
      <c r="C8" s="9"/>
      <c r="D8" s="9"/>
      <c r="E8" s="9"/>
      <c r="F8" s="9"/>
      <c r="G8" s="9"/>
      <c r="H8" s="9"/>
      <c r="I8" s="11"/>
      <c r="J8" s="11"/>
    </row>
    <row r="9">
      <c r="A9" s="1"/>
      <c r="B9" s="1"/>
      <c r="C9" s="1"/>
      <c r="D9" s="1"/>
      <c r="E9" s="1"/>
      <c r="F9" s="1"/>
      <c r="G9" s="1"/>
      <c r="H9" s="1"/>
      <c r="I9" s="1"/>
      <c r="J9" s="1"/>
    </row>
    <row r="10">
      <c r="A10" s="1"/>
      <c r="B10" s="15" t="s">
        <v>608</v>
      </c>
      <c r="C10" s="12" t="s">
        <v>609</v>
      </c>
      <c r="D10" s="12" t="s">
        <v>3</v>
      </c>
      <c r="E10" s="12" t="s">
        <v>610</v>
      </c>
      <c r="F10" s="12" t="s">
        <v>611</v>
      </c>
      <c r="G10" s="12" t="s">
        <v>612</v>
      </c>
      <c r="H10" s="12" t="s">
        <v>613</v>
      </c>
      <c r="I10" s="91" t="s">
        <v>614</v>
      </c>
      <c r="J10" s="29" t="s">
        <v>10</v>
      </c>
    </row>
    <row r="11">
      <c r="A11" s="1"/>
      <c r="B11" s="1" t="s">
        <v>615</v>
      </c>
      <c r="C11" s="7" t="s">
        <v>40</v>
      </c>
      <c r="D11" s="7" t="s">
        <v>616</v>
      </c>
      <c r="E11" s="3" t="s">
        <v>40</v>
      </c>
      <c r="F11" s="3" t="s">
        <v>40</v>
      </c>
      <c r="G11" s="3" t="s">
        <v>40</v>
      </c>
      <c r="H11" s="3" t="s">
        <v>40</v>
      </c>
      <c r="I11" s="89" t="s">
        <v>617</v>
      </c>
      <c r="J11" s="2" t="s">
        <v>618</v>
      </c>
    </row>
    <row r="12">
      <c r="A12" s="1"/>
      <c r="B12" s="1" t="s">
        <v>619</v>
      </c>
      <c r="C12" s="7" t="s">
        <v>40</v>
      </c>
      <c r="D12" s="7" t="s">
        <v>616</v>
      </c>
      <c r="E12" s="3" t="s">
        <v>40</v>
      </c>
      <c r="F12" s="3" t="s">
        <v>40</v>
      </c>
      <c r="G12" s="3" t="s">
        <v>40</v>
      </c>
      <c r="H12" s="3" t="s">
        <v>40</v>
      </c>
      <c r="I12" s="89" t="s">
        <v>617</v>
      </c>
      <c r="J12" s="2" t="s">
        <v>620</v>
      </c>
    </row>
    <row r="13">
      <c r="A13" s="1"/>
      <c r="B13" s="1" t="s">
        <v>621</v>
      </c>
      <c r="C13" s="7" t="s">
        <v>622</v>
      </c>
      <c r="D13" s="7" t="s">
        <v>623</v>
      </c>
      <c r="E13" s="8">
        <v>600</v>
      </c>
      <c r="F13" s="8">
        <v>600</v>
      </c>
      <c r="G13" s="3">
        <f>AVERAGE(E13,F13)</f>
        <v>600</v>
      </c>
      <c r="H13" s="3" t="s">
        <v>40</v>
      </c>
      <c r="I13" s="89" t="s">
        <v>624</v>
      </c>
      <c r="J13" s="2" t="s">
        <v>625</v>
      </c>
    </row>
    <row r="14">
      <c r="A14" s="1"/>
      <c r="B14" s="1" t="s">
        <v>626</v>
      </c>
      <c r="C14" s="7" t="s">
        <v>627</v>
      </c>
      <c r="D14" s="7" t="s">
        <v>628</v>
      </c>
      <c r="E14" s="3" t="s">
        <v>40</v>
      </c>
      <c r="F14" s="3" t="s">
        <v>40</v>
      </c>
      <c r="G14" s="3" t="s">
        <v>40</v>
      </c>
      <c r="H14" s="3" t="s">
        <v>40</v>
      </c>
      <c r="I14" s="89" t="s">
        <v>629</v>
      </c>
      <c r="J14" s="2" t="s">
        <v>630</v>
      </c>
    </row>
    <row r="15">
      <c r="A15" s="1"/>
      <c r="B15" s="1" t="s">
        <v>631</v>
      </c>
      <c r="C15" s="7" t="s">
        <v>632</v>
      </c>
      <c r="D15" s="7" t="s">
        <v>623</v>
      </c>
      <c r="E15" s="3" t="s">
        <v>40</v>
      </c>
      <c r="F15" s="3" t="s">
        <v>40</v>
      </c>
      <c r="G15" s="3" t="s">
        <v>40</v>
      </c>
      <c r="H15" s="3" t="s">
        <v>40</v>
      </c>
      <c r="I15" s="89" t="s">
        <v>633</v>
      </c>
      <c r="J15" s="2" t="s">
        <v>634</v>
      </c>
    </row>
    <row r="16">
      <c r="A16" s="1"/>
      <c r="B16" s="1" t="s">
        <v>635</v>
      </c>
      <c r="C16" s="7" t="s">
        <v>632</v>
      </c>
      <c r="D16" s="7" t="s">
        <v>636</v>
      </c>
      <c r="E16" s="3" t="s">
        <v>40</v>
      </c>
      <c r="F16" s="3" t="s">
        <v>40</v>
      </c>
      <c r="G16" s="3" t="s">
        <v>40</v>
      </c>
      <c r="H16" s="3" t="s">
        <v>40</v>
      </c>
      <c r="I16" s="89" t="s">
        <v>637</v>
      </c>
      <c r="J16" s="2" t="s">
        <v>638</v>
      </c>
    </row>
    <row r="17">
      <c r="A17" s="1"/>
      <c r="B17" s="1" t="s">
        <v>639</v>
      </c>
      <c r="C17" s="7" t="s">
        <v>640</v>
      </c>
      <c r="D17" s="7" t="s">
        <v>641</v>
      </c>
      <c r="E17" s="3" t="s">
        <v>40</v>
      </c>
      <c r="F17" s="3" t="s">
        <v>40</v>
      </c>
      <c r="G17" s="3" t="s">
        <v>40</v>
      </c>
      <c r="H17" s="3" t="s">
        <v>40</v>
      </c>
      <c r="I17" s="89" t="s">
        <v>642</v>
      </c>
      <c r="J17" s="2" t="s">
        <v>643</v>
      </c>
    </row>
    <row r="18">
      <c r="A18" s="1"/>
      <c r="B18" s="1" t="s">
        <v>644</v>
      </c>
      <c r="C18" s="7" t="s">
        <v>622</v>
      </c>
      <c r="D18" s="7" t="s">
        <v>645</v>
      </c>
      <c r="E18" s="8">
        <v>1000</v>
      </c>
      <c r="F18" s="8">
        <v>1000</v>
      </c>
      <c r="G18" s="3">
        <f>AVERAGE(E18,F18)</f>
        <v>1000</v>
      </c>
      <c r="H18" s="3" t="s">
        <v>40</v>
      </c>
      <c r="I18" s="89" t="s">
        <v>642</v>
      </c>
      <c r="J18" s="2" t="s">
        <v>646</v>
      </c>
    </row>
    <row r="19">
      <c r="A19" s="1"/>
      <c r="B19" s="1" t="s">
        <v>647</v>
      </c>
      <c r="C19" s="7" t="s">
        <v>627</v>
      </c>
      <c r="D19" s="7" t="s">
        <v>648</v>
      </c>
      <c r="E19" s="8">
        <v>500</v>
      </c>
      <c r="F19" s="8">
        <v>500</v>
      </c>
      <c r="G19" s="3">
        <f>AVERAGE(E19,F19)</f>
        <v>500</v>
      </c>
      <c r="H19" s="3" t="s">
        <v>40</v>
      </c>
      <c r="I19" s="89" t="s">
        <v>642</v>
      </c>
      <c r="J19" s="2" t="s">
        <v>649</v>
      </c>
    </row>
    <row r="20">
      <c r="A20" s="1"/>
      <c r="B20" s="1" t="s">
        <v>650</v>
      </c>
      <c r="C20" s="7"/>
      <c r="D20" s="7"/>
      <c r="E20" s="7"/>
      <c r="F20" s="7"/>
      <c r="G20" s="7"/>
      <c r="H20" s="7"/>
      <c r="I20" s="1"/>
      <c r="J20" s="2" t="s">
        <v>651</v>
      </c>
    </row>
    <row r="21">
      <c r="A21" s="1"/>
      <c r="B21" s="1"/>
      <c r="C21" s="7"/>
      <c r="D21" s="7"/>
      <c r="E21" s="7"/>
      <c r="F21" s="7"/>
      <c r="G21" s="7"/>
      <c r="H21" s="7"/>
      <c r="I21" s="1"/>
      <c r="J21" s="2"/>
    </row>
    <row r="22">
      <c r="A22" s="1"/>
      <c r="B22" s="1"/>
      <c r="C22" s="7"/>
      <c r="D22" s="7"/>
      <c r="E22" s="7"/>
      <c r="F22" s="7"/>
      <c r="G22" s="7"/>
      <c r="H22" s="7"/>
      <c r="I22" s="1"/>
      <c r="J22" s="2"/>
    </row>
    <row r="23">
      <c r="A23" s="1"/>
      <c r="B23" s="1"/>
      <c r="C23" s="7"/>
      <c r="D23" s="7"/>
      <c r="E23" s="7"/>
      <c r="F23" s="7"/>
      <c r="G23" s="7"/>
      <c r="H23" s="7"/>
      <c r="I23" s="1"/>
      <c r="J23" s="2"/>
    </row>
  </sheetData>
</worksheet>
</file>

<file path=xl/worksheets/sheet10.xml><?xml version="1.0" encoding="utf-8"?>
<worksheet xmlns="http://schemas.openxmlformats.org/spreadsheetml/2006/main" xmlns:r="http://schemas.openxmlformats.org/officeDocument/2006/relationships">
  <dimension ref="A1:J127"/>
  <sheetViews>
    <sheetView showGridLines="0" workbookViewId="0"/>
  </sheetViews>
  <sheetFormatPr defaultColWidth="8.42578125" defaultRowHeight="15"/>
  <cols>
    <col min="1" max="1" width="2" customWidth="1"/>
    <col min="2" max="2" width="32" customWidth="1"/>
    <col min="3" max="9" width="12" customWidth="1"/>
    <col min="10" max="10" width="70" customWidth="1"/>
  </cols>
  <sheetData>
    <row r="1">
      <c r="A1" s="1"/>
      <c r="B1" s="1"/>
      <c r="C1" s="1"/>
      <c r="D1" s="1"/>
      <c r="E1" s="1"/>
      <c r="F1" s="1"/>
      <c r="G1" s="1"/>
      <c r="H1" s="1"/>
      <c r="I1" s="1"/>
      <c r="J1" s="1"/>
    </row>
    <row r="2">
      <c r="A2" s="1"/>
      <c r="B2" s="28" t="s">
        <v>0</v>
      </c>
      <c r="C2" s="1"/>
      <c r="D2" s="1"/>
      <c r="E2" s="1"/>
      <c r="F2" s="1"/>
      <c r="G2" s="1"/>
      <c r="H2" s="1"/>
      <c r="I2" s="1"/>
      <c r="J2" s="1"/>
    </row>
    <row r="3">
      <c r="A3" s="1"/>
      <c r="B3" s="14" t="s">
        <v>652</v>
      </c>
      <c r="C3" s="1"/>
      <c r="D3" s="1"/>
      <c r="E3" s="1"/>
      <c r="F3" s="1"/>
      <c r="G3" s="1"/>
      <c r="H3" s="1"/>
      <c r="I3" s="1"/>
      <c r="J3" s="1"/>
    </row>
    <row r="4">
      <c r="A4" s="1"/>
      <c r="B4" s="25" t="s">
        <v>2</v>
      </c>
      <c r="C4" s="1"/>
      <c r="D4" s="1"/>
      <c r="E4" s="1"/>
      <c r="F4" s="1"/>
      <c r="G4" s="1"/>
      <c r="H4" s="1"/>
      <c r="I4" s="1"/>
      <c r="J4" s="1"/>
    </row>
    <row r="5">
      <c r="A5" s="1"/>
      <c r="B5" s="1"/>
      <c r="C5" s="1"/>
      <c r="D5" s="1"/>
      <c r="E5" s="1"/>
      <c r="F5" s="1"/>
      <c r="G5" s="1"/>
      <c r="H5" s="1"/>
      <c r="I5" s="1"/>
      <c r="J5" s="1"/>
    </row>
    <row r="6">
      <c r="A6" s="1"/>
      <c r="B6" s="13"/>
      <c r="C6" s="4"/>
      <c r="D6" s="4"/>
      <c r="E6" s="4"/>
      <c r="F6" s="4"/>
      <c r="G6" s="4"/>
      <c r="H6" s="4"/>
      <c r="I6" s="13"/>
      <c r="J6" s="13" t="s">
        <v>10</v>
      </c>
    </row>
    <row r="7">
      <c r="A7" s="1"/>
      <c r="B7" s="6"/>
      <c r="C7" s="5"/>
      <c r="D7" s="5"/>
      <c r="E7" s="5"/>
      <c r="F7" s="5"/>
      <c r="G7" s="5"/>
      <c r="H7" s="5"/>
      <c r="I7" s="6"/>
      <c r="J7" s="6"/>
    </row>
    <row r="8">
      <c r="A8" s="1"/>
      <c r="B8" s="11"/>
      <c r="C8" s="9"/>
      <c r="D8" s="9"/>
      <c r="E8" s="9"/>
      <c r="F8" s="9"/>
      <c r="G8" s="9"/>
      <c r="H8" s="9"/>
      <c r="I8" s="11"/>
      <c r="J8" s="11"/>
    </row>
    <row r="9">
      <c r="A9" s="1"/>
      <c r="B9" s="1"/>
      <c r="C9" s="1"/>
      <c r="D9" s="1"/>
      <c r="E9" s="1"/>
      <c r="F9" s="1"/>
      <c r="G9" s="1"/>
      <c r="H9" s="1"/>
      <c r="I9" s="1"/>
      <c r="J9" s="1"/>
    </row>
    <row r="10">
      <c r="A10" s="1"/>
      <c r="B10" s="14" t="s">
        <v>653</v>
      </c>
      <c r="C10" s="35"/>
      <c r="D10" s="35"/>
      <c r="E10" s="35"/>
      <c r="F10" s="35"/>
      <c r="G10" s="35"/>
      <c r="H10" s="35"/>
      <c r="I10" s="1"/>
      <c r="J10" s="2"/>
    </row>
    <row r="11" ht="33">
      <c r="A11" s="1"/>
      <c r="B11" s="76" t="s">
        <v>654</v>
      </c>
      <c r="C11" s="74" t="s">
        <v>655</v>
      </c>
      <c r="D11" s="74" t="s">
        <v>656</v>
      </c>
      <c r="E11" s="74" t="s">
        <v>657</v>
      </c>
      <c r="F11" s="74" t="s">
        <v>658</v>
      </c>
      <c r="G11" s="74" t="s">
        <v>659</v>
      </c>
      <c r="H11" s="74" t="s">
        <v>660</v>
      </c>
      <c r="I11" s="74" t="s">
        <v>661</v>
      </c>
      <c r="J11" s="2" t="s">
        <v>662</v>
      </c>
    </row>
    <row r="12">
      <c r="A12" s="1"/>
      <c r="B12" s="75" t="s">
        <v>663</v>
      </c>
      <c r="C12" s="69" t="s">
        <v>664</v>
      </c>
      <c r="D12" s="21">
        <v>-0.1</v>
      </c>
      <c r="E12" s="21">
        <v>-0.08</v>
      </c>
      <c r="F12" s="21">
        <v>-0.11</v>
      </c>
      <c r="G12" s="21">
        <v>-0.16</v>
      </c>
      <c r="H12" s="69">
        <v>62.91</v>
      </c>
      <c r="I12" s="72">
        <v>52.92</v>
      </c>
      <c r="J12" s="2"/>
    </row>
    <row r="13">
      <c r="A13" s="1"/>
      <c r="B13" s="75" t="s">
        <v>665</v>
      </c>
      <c r="C13" s="69" t="s">
        <v>666</v>
      </c>
      <c r="D13" s="21">
        <v>-0.21</v>
      </c>
      <c r="E13" s="21">
        <v>-0.03</v>
      </c>
      <c r="F13" s="21">
        <v>-0.17</v>
      </c>
      <c r="G13" s="21">
        <v>-0.24</v>
      </c>
      <c r="H13" s="69">
        <v>37.12</v>
      </c>
      <c r="I13" s="72">
        <v>38.01</v>
      </c>
      <c r="J13" s="2"/>
    </row>
    <row r="14">
      <c r="A14" s="1"/>
      <c r="B14" s="75" t="s">
        <v>667</v>
      </c>
      <c r="C14" s="69" t="s">
        <v>627</v>
      </c>
      <c r="D14" s="21">
        <v>-0.16</v>
      </c>
      <c r="E14" s="21">
        <v>-0.03</v>
      </c>
      <c r="F14" s="21">
        <v>-0.13</v>
      </c>
      <c r="G14" s="21">
        <v>-0.07</v>
      </c>
      <c r="H14" s="69">
        <v>45.46</v>
      </c>
      <c r="I14" s="72">
        <v>64.22</v>
      </c>
      <c r="J14" s="2"/>
    </row>
    <row r="15">
      <c r="A15" s="1"/>
      <c r="B15" s="75" t="s">
        <v>668</v>
      </c>
      <c r="C15" s="69" t="s">
        <v>669</v>
      </c>
      <c r="D15" s="21">
        <v>-0.21</v>
      </c>
      <c r="E15" s="21">
        <v>0</v>
      </c>
      <c r="F15" s="21">
        <v>-0.12</v>
      </c>
      <c r="G15" s="21">
        <v>-0.07</v>
      </c>
      <c r="H15" s="69">
        <v>81.21</v>
      </c>
      <c r="I15" s="72">
        <v>126.59</v>
      </c>
      <c r="J15" s="2"/>
    </row>
    <row r="16">
      <c r="A16" s="1"/>
      <c r="B16" s="75" t="s">
        <v>670</v>
      </c>
      <c r="C16" s="69" t="s">
        <v>632</v>
      </c>
      <c r="D16" s="21">
        <v>-0.21</v>
      </c>
      <c r="E16" s="21">
        <v>0.09</v>
      </c>
      <c r="F16" s="21">
        <v>-0.11</v>
      </c>
      <c r="G16" s="21">
        <v>-0.36</v>
      </c>
      <c r="H16" s="69">
        <v>78.48</v>
      </c>
      <c r="I16" s="72">
        <v>126.64</v>
      </c>
      <c r="J16" s="2"/>
    </row>
    <row r="17">
      <c r="A17" s="1"/>
      <c r="B17" s="75" t="s">
        <v>671</v>
      </c>
      <c r="C17" s="69" t="s">
        <v>622</v>
      </c>
      <c r="D17" s="21">
        <v>-0.19</v>
      </c>
      <c r="E17" s="21">
        <v>0.04</v>
      </c>
      <c r="F17" s="21">
        <v>-0.28</v>
      </c>
      <c r="G17" s="21">
        <v>-0.39</v>
      </c>
      <c r="H17" s="69">
        <v>95.32</v>
      </c>
      <c r="I17" s="72">
        <v>258.75</v>
      </c>
      <c r="J17" s="2"/>
    </row>
    <row r="18">
      <c r="A18" s="1"/>
      <c r="B18" s="1"/>
      <c r="C18" s="7"/>
      <c r="D18" s="7"/>
      <c r="E18" s="7"/>
      <c r="F18" s="7"/>
      <c r="G18" s="7"/>
      <c r="H18" s="7"/>
      <c r="I18" s="1"/>
      <c r="J18" s="2"/>
    </row>
    <row r="19">
      <c r="A19" s="1"/>
      <c r="B19" s="14" t="s">
        <v>672</v>
      </c>
      <c r="C19" s="35"/>
      <c r="D19" s="35"/>
      <c r="E19" s="35"/>
      <c r="F19" s="35"/>
      <c r="G19" s="35"/>
      <c r="H19" s="35"/>
      <c r="I19" s="1"/>
      <c r="J19" s="2"/>
    </row>
    <row r="20">
      <c r="A20" s="1"/>
      <c r="B20" s="1" t="s">
        <v>673</v>
      </c>
      <c r="C20" s="92" t="s">
        <v>674</v>
      </c>
      <c r="D20" s="43"/>
      <c r="E20" s="43"/>
      <c r="F20" s="43"/>
      <c r="G20" s="43"/>
      <c r="H20" s="43"/>
      <c r="I20" s="68"/>
      <c r="J20" s="2" t="s">
        <v>675</v>
      </c>
    </row>
    <row r="21">
      <c r="A21" s="1"/>
      <c r="B21" s="1" t="s">
        <v>676</v>
      </c>
      <c r="C21" s="69" t="s">
        <v>677</v>
      </c>
      <c r="D21" s="43"/>
      <c r="E21" s="43"/>
      <c r="F21" s="43"/>
      <c r="G21" s="43"/>
      <c r="H21" s="43"/>
      <c r="I21" s="68"/>
      <c r="J21" s="2" t="s">
        <v>675</v>
      </c>
    </row>
    <row r="22">
      <c r="A22" s="1"/>
      <c r="B22" s="1" t="s">
        <v>678</v>
      </c>
      <c r="C22" s="92" t="s">
        <v>16</v>
      </c>
      <c r="D22" s="43"/>
      <c r="E22" s="43"/>
      <c r="F22" s="43"/>
      <c r="G22" s="43"/>
      <c r="H22" s="43"/>
      <c r="I22" s="68"/>
      <c r="J22" s="2" t="s">
        <v>675</v>
      </c>
    </row>
    <row r="23">
      <c r="A23" s="1"/>
      <c r="B23" s="1" t="s">
        <v>679</v>
      </c>
      <c r="C23" s="92" t="s">
        <v>680</v>
      </c>
      <c r="D23" s="43"/>
      <c r="E23" s="43"/>
      <c r="F23" s="43"/>
      <c r="G23" s="43"/>
      <c r="H23" s="43"/>
      <c r="I23" s="68"/>
      <c r="J23" s="2" t="s">
        <v>675</v>
      </c>
    </row>
    <row r="24">
      <c r="A24" s="1"/>
      <c r="B24" s="1" t="s">
        <v>681</v>
      </c>
      <c r="C24" s="69" t="s">
        <v>682</v>
      </c>
      <c r="D24" s="43"/>
      <c r="E24" s="43"/>
      <c r="F24" s="43"/>
      <c r="G24" s="43"/>
      <c r="H24" s="43"/>
      <c r="I24" s="68"/>
      <c r="J24" s="2" t="s">
        <v>675</v>
      </c>
    </row>
    <row r="25">
      <c r="A25" s="1"/>
      <c r="B25" s="1" t="s">
        <v>683</v>
      </c>
      <c r="C25" s="69" t="s">
        <v>684</v>
      </c>
      <c r="D25" s="43"/>
      <c r="E25" s="43"/>
      <c r="F25" s="43"/>
      <c r="G25" s="43"/>
      <c r="H25" s="43"/>
      <c r="I25" s="68"/>
      <c r="J25" s="2" t="s">
        <v>675</v>
      </c>
    </row>
    <row r="26">
      <c r="A26" s="1"/>
      <c r="B26" s="1" t="s">
        <v>685</v>
      </c>
      <c r="C26" s="63">
        <v>4</v>
      </c>
      <c r="D26" s="41"/>
      <c r="E26" s="41"/>
      <c r="F26" s="41"/>
      <c r="G26" s="41"/>
      <c r="H26" s="41"/>
      <c r="I26" s="80"/>
      <c r="J26" s="2" t="s">
        <v>675</v>
      </c>
    </row>
    <row r="27">
      <c r="A27" s="1"/>
      <c r="B27" s="1" t="s">
        <v>686</v>
      </c>
      <c r="C27" s="21">
        <v>-0.3</v>
      </c>
      <c r="D27" s="32"/>
      <c r="E27" s="32"/>
      <c r="F27" s="32"/>
      <c r="G27" s="32"/>
      <c r="H27" s="32"/>
      <c r="I27" s="73"/>
      <c r="J27" s="2" t="s">
        <v>675</v>
      </c>
    </row>
    <row r="28">
      <c r="A28" s="1"/>
      <c r="B28" s="1" t="s">
        <v>687</v>
      </c>
      <c r="C28" s="93" t="s">
        <v>688</v>
      </c>
      <c r="D28" s="32"/>
      <c r="E28" s="32"/>
      <c r="F28" s="32"/>
      <c r="G28" s="32"/>
      <c r="H28" s="32"/>
      <c r="I28" s="73"/>
      <c r="J28" s="2" t="s">
        <v>675</v>
      </c>
    </row>
    <row r="29">
      <c r="A29" s="1"/>
      <c r="B29" s="1" t="s">
        <v>689</v>
      </c>
      <c r="C29" s="69">
        <v>124.57</v>
      </c>
      <c r="D29" s="43"/>
      <c r="E29" s="43"/>
      <c r="F29" s="43"/>
      <c r="G29" s="43"/>
      <c r="H29" s="43"/>
      <c r="I29" s="68"/>
      <c r="J29" s="2" t="s">
        <v>675</v>
      </c>
    </row>
    <row r="30">
      <c r="A30" s="1"/>
      <c r="B30" s="1" t="s">
        <v>690</v>
      </c>
      <c r="C30" s="69" t="s">
        <v>22</v>
      </c>
      <c r="D30" s="43"/>
      <c r="E30" s="43"/>
      <c r="F30" s="43"/>
      <c r="G30" s="43"/>
      <c r="H30" s="43"/>
      <c r="I30" s="68"/>
      <c r="J30" s="2" t="s">
        <v>675</v>
      </c>
    </row>
    <row r="31">
      <c r="A31" s="1"/>
      <c r="B31" s="1" t="s">
        <v>691</v>
      </c>
      <c r="C31" s="92" t="s">
        <v>692</v>
      </c>
      <c r="D31" s="43"/>
      <c r="E31" s="43"/>
      <c r="F31" s="43"/>
      <c r="G31" s="43"/>
      <c r="H31" s="43"/>
      <c r="I31" s="68"/>
      <c r="J31" s="2" t="s">
        <v>693</v>
      </c>
    </row>
    <row r="32">
      <c r="A32" s="1"/>
      <c r="B32" s="1" t="s">
        <v>694</v>
      </c>
      <c r="C32" s="92" t="s">
        <v>695</v>
      </c>
      <c r="D32" s="43"/>
      <c r="E32" s="43"/>
      <c r="F32" s="43"/>
      <c r="G32" s="43"/>
      <c r="H32" s="43"/>
      <c r="I32" s="68"/>
      <c r="J32" s="2" t="s">
        <v>675</v>
      </c>
    </row>
    <row r="33">
      <c r="A33" s="1"/>
      <c r="B33" s="1" t="s">
        <v>696</v>
      </c>
      <c r="C33" s="92" t="s">
        <v>697</v>
      </c>
      <c r="D33" s="43"/>
      <c r="E33" s="43"/>
      <c r="F33" s="43"/>
      <c r="G33" s="43"/>
      <c r="H33" s="43"/>
      <c r="I33" s="68"/>
      <c r="J33" s="2" t="s">
        <v>675</v>
      </c>
    </row>
    <row r="34">
      <c r="A34" s="1"/>
      <c r="B34" s="1"/>
      <c r="C34" s="84"/>
      <c r="D34" s="7"/>
      <c r="E34" s="7"/>
      <c r="F34" s="7"/>
      <c r="G34" s="7"/>
      <c r="H34" s="7"/>
      <c r="I34" s="1"/>
      <c r="J34" s="2"/>
    </row>
    <row r="35">
      <c r="A35" s="1"/>
      <c r="B35" s="14" t="s">
        <v>698</v>
      </c>
      <c r="C35" s="81"/>
      <c r="D35" s="35"/>
      <c r="E35" s="35"/>
      <c r="F35" s="35"/>
      <c r="G35" s="35"/>
      <c r="H35" s="35"/>
      <c r="I35" s="1"/>
      <c r="J35" s="2"/>
    </row>
    <row r="36">
      <c r="A36" s="1"/>
      <c r="B36" s="1" t="s">
        <v>676</v>
      </c>
      <c r="C36" s="69" t="s">
        <v>677</v>
      </c>
      <c r="D36" s="43"/>
      <c r="E36" s="43"/>
      <c r="F36" s="43"/>
      <c r="G36" s="43"/>
      <c r="H36" s="43"/>
      <c r="I36" s="68"/>
      <c r="J36" s="2"/>
    </row>
    <row r="37">
      <c r="A37" s="1"/>
      <c r="B37" s="1" t="s">
        <v>699</v>
      </c>
      <c r="C37" s="92" t="s">
        <v>16</v>
      </c>
      <c r="D37" s="43"/>
      <c r="E37" s="43"/>
      <c r="F37" s="43"/>
      <c r="G37" s="43"/>
      <c r="H37" s="43"/>
      <c r="I37" s="68"/>
      <c r="J37" s="2"/>
    </row>
    <row r="38">
      <c r="A38" s="1"/>
      <c r="B38" s="1" t="s">
        <v>700</v>
      </c>
      <c r="C38" s="92" t="s">
        <v>701</v>
      </c>
      <c r="D38" s="43"/>
      <c r="E38" s="43"/>
      <c r="F38" s="43"/>
      <c r="G38" s="43"/>
      <c r="H38" s="43"/>
      <c r="I38" s="68"/>
      <c r="J38" s="2"/>
    </row>
    <row r="39">
      <c r="A39" s="1"/>
      <c r="B39" s="1" t="s">
        <v>702</v>
      </c>
      <c r="C39" s="69" t="s">
        <v>703</v>
      </c>
      <c r="D39" s="43"/>
      <c r="E39" s="43"/>
      <c r="F39" s="43"/>
      <c r="G39" s="43"/>
      <c r="H39" s="43"/>
      <c r="I39" s="68"/>
      <c r="J39" s="2"/>
    </row>
    <row r="40">
      <c r="A40" s="1"/>
      <c r="B40" s="1" t="s">
        <v>704</v>
      </c>
      <c r="C40" s="69" t="s">
        <v>705</v>
      </c>
      <c r="D40" s="43"/>
      <c r="E40" s="43"/>
      <c r="F40" s="43"/>
      <c r="G40" s="43"/>
      <c r="H40" s="43"/>
      <c r="I40" s="68"/>
      <c r="J40" s="2"/>
    </row>
    <row r="41">
      <c r="A41" s="1"/>
      <c r="B41" s="1" t="s">
        <v>706</v>
      </c>
      <c r="C41" s="69"/>
      <c r="D41" s="43"/>
      <c r="E41" s="43"/>
      <c r="F41" s="43"/>
      <c r="G41" s="43"/>
      <c r="H41" s="43"/>
      <c r="I41" s="68"/>
      <c r="J41" s="2"/>
    </row>
    <row r="42">
      <c r="A42" s="1"/>
      <c r="B42" s="1" t="s">
        <v>707</v>
      </c>
      <c r="C42" s="92" t="s">
        <v>708</v>
      </c>
      <c r="D42" s="43"/>
      <c r="E42" s="43"/>
      <c r="F42" s="43"/>
      <c r="G42" s="43"/>
      <c r="H42" s="43"/>
      <c r="I42" s="68"/>
      <c r="J42" s="2"/>
    </row>
    <row r="43">
      <c r="A43" s="1"/>
      <c r="B43" s="1" t="s">
        <v>709</v>
      </c>
      <c r="C43" s="69" t="s">
        <v>682</v>
      </c>
      <c r="D43" s="43"/>
      <c r="E43" s="43"/>
      <c r="F43" s="43"/>
      <c r="G43" s="43"/>
      <c r="H43" s="43"/>
      <c r="I43" s="68"/>
      <c r="J43" s="2"/>
    </row>
    <row r="44">
      <c r="A44" s="1"/>
      <c r="B44" s="1" t="s">
        <v>710</v>
      </c>
      <c r="C44" s="69" t="s">
        <v>711</v>
      </c>
      <c r="D44" s="43"/>
      <c r="E44" s="43"/>
      <c r="F44" s="43"/>
      <c r="G44" s="43"/>
      <c r="H44" s="43"/>
      <c r="I44" s="68"/>
      <c r="J44" s="2"/>
    </row>
    <row r="45">
      <c r="A45" s="1"/>
      <c r="B45" s="1" t="s">
        <v>712</v>
      </c>
      <c r="C45" s="69" t="s">
        <v>713</v>
      </c>
      <c r="D45" s="43"/>
      <c r="E45" s="43"/>
      <c r="F45" s="43"/>
      <c r="G45" s="43"/>
      <c r="H45" s="43"/>
      <c r="I45" s="68"/>
      <c r="J45" s="2"/>
    </row>
    <row r="46">
      <c r="A46" s="1"/>
      <c r="B46" s="1" t="s">
        <v>714</v>
      </c>
      <c r="C46" s="63">
        <v>15</v>
      </c>
      <c r="D46" s="41"/>
      <c r="E46" s="41"/>
      <c r="F46" s="41"/>
      <c r="G46" s="41"/>
      <c r="H46" s="41"/>
      <c r="I46" s="80"/>
      <c r="J46" s="2"/>
    </row>
    <row r="47">
      <c r="A47" s="1"/>
      <c r="B47" s="1" t="s">
        <v>715</v>
      </c>
      <c r="C47" s="21">
        <v>-0.3</v>
      </c>
      <c r="D47" s="32"/>
      <c r="E47" s="32"/>
      <c r="F47" s="32"/>
      <c r="G47" s="32"/>
      <c r="H47" s="32"/>
      <c r="I47" s="73"/>
      <c r="J47" s="2"/>
    </row>
    <row r="48">
      <c r="A48" s="1"/>
      <c r="B48" s="1" t="s">
        <v>716</v>
      </c>
      <c r="C48" s="21">
        <v>-0.31</v>
      </c>
      <c r="D48" s="32"/>
      <c r="E48" s="32"/>
      <c r="F48" s="32"/>
      <c r="G48" s="32"/>
      <c r="H48" s="32"/>
      <c r="I48" s="73"/>
      <c r="J48" s="2"/>
    </row>
    <row r="49">
      <c r="A49" s="1"/>
      <c r="B49" s="1" t="s">
        <v>717</v>
      </c>
      <c r="C49" s="21">
        <v>-0.22</v>
      </c>
      <c r="D49" s="32"/>
      <c r="E49" s="32"/>
      <c r="F49" s="32"/>
      <c r="G49" s="32"/>
      <c r="H49" s="32"/>
      <c r="I49" s="73"/>
      <c r="J49" s="2"/>
    </row>
    <row r="50">
      <c r="A50" s="1"/>
      <c r="B50" s="1" t="s">
        <v>718</v>
      </c>
      <c r="C50" s="21">
        <v>-0.36</v>
      </c>
      <c r="D50" s="32"/>
      <c r="E50" s="32"/>
      <c r="F50" s="32"/>
      <c r="G50" s="32"/>
      <c r="H50" s="32"/>
      <c r="I50" s="73"/>
      <c r="J50" s="2"/>
    </row>
    <row r="51">
      <c r="A51" s="1"/>
      <c r="B51" s="1" t="s">
        <v>719</v>
      </c>
      <c r="C51" s="21">
        <v>0.05</v>
      </c>
      <c r="D51" s="32"/>
      <c r="E51" s="32"/>
      <c r="F51" s="32"/>
      <c r="G51" s="32"/>
      <c r="H51" s="32"/>
      <c r="I51" s="73"/>
      <c r="J51" s="2"/>
    </row>
    <row r="52">
      <c r="A52" s="1"/>
      <c r="B52" s="1" t="s">
        <v>720</v>
      </c>
      <c r="C52" s="63">
        <v>4</v>
      </c>
      <c r="D52" s="32"/>
      <c r="E52" s="32"/>
      <c r="F52" s="32"/>
      <c r="G52" s="32"/>
      <c r="H52" s="32"/>
      <c r="I52" s="73"/>
      <c r="J52" s="2"/>
    </row>
    <row r="53">
      <c r="A53" s="1"/>
      <c r="B53" s="1" t="s">
        <v>721</v>
      </c>
      <c r="C53" s="21"/>
      <c r="D53" s="32"/>
      <c r="E53" s="32"/>
      <c r="F53" s="32"/>
      <c r="G53" s="32"/>
      <c r="H53" s="32"/>
      <c r="I53" s="73"/>
      <c r="J53" s="2"/>
    </row>
    <row r="54">
      <c r="A54" s="1"/>
      <c r="B54" s="1" t="s">
        <v>722</v>
      </c>
      <c r="C54" s="21"/>
      <c r="D54" s="32"/>
      <c r="E54" s="32"/>
      <c r="F54" s="32"/>
      <c r="G54" s="32"/>
      <c r="H54" s="32"/>
      <c r="I54" s="73"/>
      <c r="J54" s="2"/>
    </row>
    <row r="55">
      <c r="A55" s="1"/>
      <c r="B55" s="1" t="s">
        <v>723</v>
      </c>
      <c r="C55" s="21"/>
      <c r="D55" s="32"/>
      <c r="E55" s="32"/>
      <c r="F55" s="32"/>
      <c r="G55" s="32"/>
      <c r="H55" s="32"/>
      <c r="I55" s="73"/>
      <c r="J55" s="2"/>
    </row>
    <row r="56">
      <c r="A56" s="1"/>
      <c r="B56" s="1" t="s">
        <v>724</v>
      </c>
      <c r="C56" s="21">
        <v>-0.28</v>
      </c>
      <c r="D56" s="32"/>
      <c r="E56" s="32"/>
      <c r="F56" s="32"/>
      <c r="G56" s="32"/>
      <c r="H56" s="32"/>
      <c r="I56" s="73"/>
      <c r="J56" s="2"/>
    </row>
    <row r="57">
      <c r="A57" s="1"/>
      <c r="B57" s="1" t="s">
        <v>725</v>
      </c>
      <c r="C57" s="21">
        <v>-0.31</v>
      </c>
      <c r="D57" s="32"/>
      <c r="E57" s="32"/>
      <c r="F57" s="32"/>
      <c r="G57" s="32"/>
      <c r="H57" s="32"/>
      <c r="I57" s="73"/>
      <c r="J57" s="2"/>
    </row>
    <row r="58">
      <c r="A58" s="1"/>
      <c r="B58" s="1" t="s">
        <v>726</v>
      </c>
      <c r="C58" s="21">
        <v>-0.06</v>
      </c>
      <c r="D58" s="32"/>
      <c r="E58" s="32"/>
      <c r="F58" s="32"/>
      <c r="G58" s="32"/>
      <c r="H58" s="32"/>
      <c r="I58" s="73"/>
      <c r="J58" s="2"/>
    </row>
    <row r="59">
      <c r="A59" s="1"/>
      <c r="B59" s="1" t="s">
        <v>727</v>
      </c>
      <c r="C59" s="21">
        <v>-0.43</v>
      </c>
      <c r="D59" s="32"/>
      <c r="E59" s="32"/>
      <c r="F59" s="32"/>
      <c r="G59" s="32"/>
      <c r="H59" s="32"/>
      <c r="I59" s="73"/>
      <c r="J59" s="2"/>
    </row>
    <row r="60">
      <c r="A60" s="1"/>
      <c r="B60" s="1" t="s">
        <v>728</v>
      </c>
      <c r="C60" s="21">
        <v>0.09</v>
      </c>
      <c r="D60" s="32"/>
      <c r="E60" s="32"/>
      <c r="F60" s="32"/>
      <c r="G60" s="32"/>
      <c r="H60" s="32"/>
      <c r="I60" s="73"/>
      <c r="J60" s="2"/>
    </row>
    <row r="61">
      <c r="A61" s="1"/>
      <c r="B61" s="1" t="s">
        <v>729</v>
      </c>
      <c r="C61" s="63">
        <v>10</v>
      </c>
      <c r="D61" s="32"/>
      <c r="E61" s="32"/>
      <c r="F61" s="32"/>
      <c r="G61" s="32"/>
      <c r="H61" s="32"/>
      <c r="I61" s="73"/>
      <c r="J61" s="2"/>
    </row>
    <row r="62">
      <c r="A62" s="1"/>
      <c r="B62" s="1" t="s">
        <v>730</v>
      </c>
      <c r="C62" s="21"/>
      <c r="D62" s="32"/>
      <c r="E62" s="32"/>
      <c r="F62" s="32"/>
      <c r="G62" s="32"/>
      <c r="H62" s="32"/>
      <c r="I62" s="73"/>
      <c r="J62" s="2"/>
    </row>
    <row r="63">
      <c r="A63" s="1"/>
      <c r="B63" s="1" t="s">
        <v>731</v>
      </c>
      <c r="C63" s="69">
        <v>124.57</v>
      </c>
      <c r="D63" s="43"/>
      <c r="E63" s="43"/>
      <c r="F63" s="43"/>
      <c r="G63" s="43"/>
      <c r="H63" s="43"/>
      <c r="I63" s="68"/>
      <c r="J63" s="2"/>
    </row>
    <row r="64">
      <c r="A64" s="1"/>
      <c r="B64" s="1" t="s">
        <v>732</v>
      </c>
      <c r="C64" s="69">
        <v>126.16</v>
      </c>
      <c r="D64" s="43"/>
      <c r="E64" s="43"/>
      <c r="F64" s="43"/>
      <c r="G64" s="43"/>
      <c r="H64" s="43"/>
      <c r="I64" s="68"/>
      <c r="J64" s="2"/>
    </row>
    <row r="65">
      <c r="A65" s="1"/>
      <c r="B65" s="1" t="s">
        <v>733</v>
      </c>
      <c r="C65" s="69">
        <v>139.3</v>
      </c>
      <c r="D65" s="43"/>
      <c r="E65" s="43"/>
      <c r="F65" s="43"/>
      <c r="G65" s="43"/>
      <c r="H65" s="43"/>
      <c r="I65" s="68"/>
      <c r="J65" s="2"/>
    </row>
    <row r="66">
      <c r="A66" s="1"/>
      <c r="B66" s="1" t="s">
        <v>734</v>
      </c>
      <c r="C66" s="69">
        <v>102.5</v>
      </c>
      <c r="D66" s="43"/>
      <c r="E66" s="43"/>
      <c r="F66" s="43"/>
      <c r="G66" s="43"/>
      <c r="H66" s="43"/>
      <c r="I66" s="68"/>
      <c r="J66" s="2"/>
    </row>
    <row r="67">
      <c r="A67" s="1"/>
      <c r="B67" s="1" t="s">
        <v>735</v>
      </c>
      <c r="C67" s="69">
        <v>11.81</v>
      </c>
      <c r="D67" s="43"/>
      <c r="E67" s="43"/>
      <c r="F67" s="43"/>
      <c r="G67" s="43"/>
      <c r="H67" s="43"/>
      <c r="I67" s="68"/>
      <c r="J67" s="2"/>
    </row>
    <row r="68">
      <c r="A68" s="1"/>
      <c r="B68" s="1" t="s">
        <v>736</v>
      </c>
      <c r="C68" s="63">
        <v>6</v>
      </c>
      <c r="D68" s="41"/>
      <c r="E68" s="41"/>
      <c r="F68" s="41"/>
      <c r="G68" s="41"/>
      <c r="H68" s="41"/>
      <c r="I68" s="80"/>
      <c r="J68" s="2"/>
    </row>
    <row r="69">
      <c r="A69" s="1"/>
      <c r="B69" s="1" t="s">
        <v>737</v>
      </c>
      <c r="C69" s="69"/>
      <c r="D69" s="43"/>
      <c r="E69" s="43"/>
      <c r="F69" s="43"/>
      <c r="G69" s="43"/>
      <c r="H69" s="43"/>
      <c r="I69" s="68"/>
      <c r="J69" s="2"/>
    </row>
    <row r="70">
      <c r="A70" s="1"/>
      <c r="B70" s="1" t="s">
        <v>738</v>
      </c>
      <c r="C70" s="69"/>
      <c r="D70" s="43"/>
      <c r="E70" s="43"/>
      <c r="F70" s="43"/>
      <c r="G70" s="43"/>
      <c r="H70" s="43"/>
      <c r="I70" s="68"/>
      <c r="J70" s="2"/>
    </row>
    <row r="71">
      <c r="A71" s="1"/>
      <c r="B71" s="1" t="s">
        <v>739</v>
      </c>
      <c r="C71" s="69"/>
      <c r="D71" s="43"/>
      <c r="E71" s="43"/>
      <c r="F71" s="43"/>
      <c r="G71" s="43"/>
      <c r="H71" s="43"/>
      <c r="I71" s="68"/>
      <c r="J71" s="2"/>
    </row>
    <row r="72">
      <c r="A72" s="1"/>
      <c r="B72" s="1" t="s">
        <v>740</v>
      </c>
      <c r="C72" s="69">
        <v>39.79</v>
      </c>
      <c r="D72" s="43"/>
      <c r="E72" s="43"/>
      <c r="F72" s="43"/>
      <c r="G72" s="43"/>
      <c r="H72" s="43"/>
      <c r="I72" s="68"/>
      <c r="J72" s="2"/>
    </row>
    <row r="73">
      <c r="A73" s="1"/>
      <c r="B73" s="1" t="s">
        <v>741</v>
      </c>
      <c r="C73" s="69">
        <v>-16.68</v>
      </c>
      <c r="D73" s="43"/>
      <c r="E73" s="43"/>
      <c r="F73" s="43"/>
      <c r="G73" s="43"/>
      <c r="H73" s="43"/>
      <c r="I73" s="68"/>
      <c r="J73" s="2"/>
    </row>
    <row r="74">
      <c r="A74" s="1"/>
      <c r="B74" s="1" t="s">
        <v>742</v>
      </c>
      <c r="C74" s="69">
        <v>-35.84</v>
      </c>
      <c r="D74" s="43"/>
      <c r="E74" s="43"/>
      <c r="F74" s="43"/>
      <c r="G74" s="43"/>
      <c r="H74" s="43"/>
      <c r="I74" s="68"/>
      <c r="J74" s="2"/>
    </row>
    <row r="75">
      <c r="A75" s="1"/>
      <c r="B75" s="1" t="s">
        <v>743</v>
      </c>
      <c r="C75" s="69">
        <v>-76.58</v>
      </c>
      <c r="D75" s="43"/>
      <c r="E75" s="43"/>
      <c r="F75" s="43"/>
      <c r="G75" s="43"/>
      <c r="H75" s="43"/>
      <c r="I75" s="68"/>
      <c r="J75" s="2"/>
    </row>
    <row r="76">
      <c r="A76" s="1"/>
      <c r="B76" s="1" t="s">
        <v>744</v>
      </c>
      <c r="C76" s="69">
        <v>-90.6</v>
      </c>
      <c r="D76" s="43"/>
      <c r="E76" s="43"/>
      <c r="F76" s="43"/>
      <c r="G76" s="43"/>
      <c r="H76" s="43"/>
      <c r="I76" s="68"/>
      <c r="J76" s="2"/>
    </row>
    <row r="77">
      <c r="A77" s="1"/>
      <c r="B77" s="1" t="s">
        <v>745</v>
      </c>
      <c r="C77" s="69">
        <v>-82.35</v>
      </c>
      <c r="D77" s="43"/>
      <c r="E77" s="43"/>
      <c r="F77" s="43"/>
      <c r="G77" s="43"/>
      <c r="H77" s="43"/>
      <c r="I77" s="68"/>
      <c r="J77" s="2"/>
    </row>
    <row r="78">
      <c r="A78" s="1"/>
      <c r="B78" s="1" t="s">
        <v>746</v>
      </c>
      <c r="C78" s="69"/>
      <c r="D78" s="43"/>
      <c r="E78" s="43"/>
      <c r="F78" s="43"/>
      <c r="G78" s="43"/>
      <c r="H78" s="43"/>
      <c r="I78" s="68"/>
      <c r="J78" s="2"/>
    </row>
    <row r="79">
      <c r="A79" s="1"/>
      <c r="B79" s="1" t="s">
        <v>747</v>
      </c>
      <c r="C79" s="69"/>
      <c r="D79" s="43"/>
      <c r="E79" s="43"/>
      <c r="F79" s="43"/>
      <c r="G79" s="43"/>
      <c r="H79" s="43"/>
      <c r="I79" s="68"/>
      <c r="J79" s="2"/>
    </row>
    <row r="80">
      <c r="A80" s="1"/>
      <c r="B80" s="1" t="s">
        <v>748</v>
      </c>
      <c r="C80" s="69"/>
      <c r="D80" s="43"/>
      <c r="E80" s="43"/>
      <c r="F80" s="43"/>
      <c r="G80" s="43"/>
      <c r="H80" s="43"/>
      <c r="I80" s="68"/>
      <c r="J80" s="2"/>
    </row>
    <row r="81">
      <c r="A81" s="1"/>
      <c r="B81" s="1" t="s">
        <v>749</v>
      </c>
      <c r="C81" s="69"/>
      <c r="D81" s="43"/>
      <c r="E81" s="43"/>
      <c r="F81" s="43"/>
      <c r="G81" s="43"/>
      <c r="H81" s="43"/>
      <c r="I81" s="68"/>
      <c r="J81" s="2"/>
    </row>
    <row r="82">
      <c r="A82" s="1"/>
      <c r="B82" s="1" t="s">
        <v>750</v>
      </c>
      <c r="C82" s="69"/>
      <c r="D82" s="43"/>
      <c r="E82" s="43"/>
      <c r="F82" s="43"/>
      <c r="G82" s="43"/>
      <c r="H82" s="43"/>
      <c r="I82" s="68"/>
      <c r="J82" s="2"/>
    </row>
    <row r="83">
      <c r="A83" s="1"/>
      <c r="B83" s="1" t="s">
        <v>751</v>
      </c>
      <c r="C83" s="69"/>
      <c r="D83" s="43"/>
      <c r="E83" s="43"/>
      <c r="F83" s="43"/>
      <c r="G83" s="43"/>
      <c r="H83" s="43"/>
      <c r="I83" s="68"/>
      <c r="J83" s="2"/>
    </row>
    <row r="84">
      <c r="A84" s="1"/>
      <c r="B84" s="1" t="s">
        <v>752</v>
      </c>
      <c r="C84" s="69">
        <v>-48.91</v>
      </c>
      <c r="D84" s="43"/>
      <c r="E84" s="43"/>
      <c r="F84" s="43"/>
      <c r="G84" s="43"/>
      <c r="H84" s="43"/>
      <c r="I84" s="68"/>
      <c r="J84" s="2"/>
    </row>
    <row r="85">
      <c r="A85" s="1"/>
      <c r="B85" s="1" t="s">
        <v>753</v>
      </c>
      <c r="C85" s="69"/>
      <c r="D85" s="43"/>
      <c r="E85" s="43"/>
      <c r="F85" s="43"/>
      <c r="G85" s="43"/>
      <c r="H85" s="43"/>
      <c r="I85" s="68"/>
      <c r="J85" s="2"/>
    </row>
    <row r="86">
      <c r="A86" s="1"/>
      <c r="B86" s="1" t="s">
        <v>754</v>
      </c>
      <c r="C86" s="21"/>
      <c r="D86" s="32"/>
      <c r="E86" s="32"/>
      <c r="F86" s="32"/>
      <c r="G86" s="32"/>
      <c r="H86" s="32"/>
      <c r="I86" s="73"/>
      <c r="J86" s="2"/>
    </row>
    <row r="87">
      <c r="A87" s="1"/>
      <c r="B87" s="1" t="s">
        <v>755</v>
      </c>
      <c r="C87" s="21"/>
      <c r="D87" s="32"/>
      <c r="E87" s="32"/>
      <c r="F87" s="32"/>
      <c r="G87" s="32"/>
      <c r="H87" s="32"/>
      <c r="I87" s="73"/>
      <c r="J87" s="2"/>
    </row>
    <row r="88">
      <c r="A88" s="1"/>
      <c r="B88" s="1" t="s">
        <v>756</v>
      </c>
      <c r="C88" s="21"/>
      <c r="D88" s="32"/>
      <c r="E88" s="32"/>
      <c r="F88" s="32"/>
      <c r="G88" s="32"/>
      <c r="H88" s="32"/>
      <c r="I88" s="73"/>
      <c r="J88" s="2"/>
    </row>
    <row r="89">
      <c r="A89" s="1"/>
      <c r="B89" s="1" t="s">
        <v>757</v>
      </c>
      <c r="C89" s="69"/>
      <c r="D89" s="43"/>
      <c r="E89" s="43"/>
      <c r="F89" s="43"/>
      <c r="G89" s="43"/>
      <c r="H89" s="43"/>
      <c r="I89" s="68"/>
      <c r="J89" s="2"/>
    </row>
    <row r="90">
      <c r="A90" s="1"/>
      <c r="B90" s="1" t="s">
        <v>758</v>
      </c>
      <c r="C90" s="21"/>
      <c r="D90" s="32"/>
      <c r="E90" s="32"/>
      <c r="F90" s="32"/>
      <c r="G90" s="32"/>
      <c r="H90" s="32"/>
      <c r="I90" s="73"/>
      <c r="J90" s="2"/>
    </row>
    <row r="91">
      <c r="A91" s="1"/>
      <c r="B91" s="1" t="s">
        <v>759</v>
      </c>
      <c r="C91" s="69"/>
      <c r="D91" s="43"/>
      <c r="E91" s="43"/>
      <c r="F91" s="43"/>
      <c r="G91" s="43"/>
      <c r="H91" s="43"/>
      <c r="I91" s="68"/>
      <c r="J91" s="2"/>
    </row>
    <row r="92">
      <c r="A92" s="1"/>
      <c r="B92" s="1" t="s">
        <v>760</v>
      </c>
      <c r="C92" s="69"/>
      <c r="D92" s="43"/>
      <c r="E92" s="43"/>
      <c r="F92" s="43"/>
      <c r="G92" s="43"/>
      <c r="H92" s="43"/>
      <c r="I92" s="68"/>
      <c r="J92" s="2"/>
    </row>
    <row r="93">
      <c r="A93" s="1"/>
      <c r="B93" s="1" t="s">
        <v>761</v>
      </c>
      <c r="C93" s="21">
        <v>66.43</v>
      </c>
      <c r="D93" s="32"/>
      <c r="E93" s="32"/>
      <c r="F93" s="32"/>
      <c r="G93" s="32"/>
      <c r="H93" s="32"/>
      <c r="I93" s="73"/>
      <c r="J93" s="2" t="s">
        <v>762</v>
      </c>
    </row>
    <row r="94">
      <c r="A94" s="1"/>
      <c r="B94" s="1" t="s">
        <v>763</v>
      </c>
      <c r="C94" s="21">
        <v>70</v>
      </c>
      <c r="D94" s="32"/>
      <c r="E94" s="32"/>
      <c r="F94" s="32"/>
      <c r="G94" s="32"/>
      <c r="H94" s="32"/>
      <c r="I94" s="73"/>
      <c r="J94" s="2" t="s">
        <v>762</v>
      </c>
    </row>
    <row r="95">
      <c r="A95" s="1"/>
      <c r="B95" s="1" t="s">
        <v>764</v>
      </c>
      <c r="C95" s="21">
        <v>109</v>
      </c>
      <c r="D95" s="32"/>
      <c r="E95" s="32"/>
      <c r="F95" s="32"/>
      <c r="G95" s="32"/>
      <c r="H95" s="32"/>
      <c r="I95" s="73"/>
      <c r="J95" s="2" t="s">
        <v>762</v>
      </c>
    </row>
    <row r="96">
      <c r="A96" s="1"/>
      <c r="B96" s="1" t="s">
        <v>765</v>
      </c>
      <c r="C96" s="21">
        <v>22</v>
      </c>
      <c r="D96" s="32"/>
      <c r="E96" s="32"/>
      <c r="F96" s="32"/>
      <c r="G96" s="32"/>
      <c r="H96" s="32"/>
      <c r="I96" s="73"/>
      <c r="J96" s="2" t="s">
        <v>762</v>
      </c>
    </row>
    <row r="97">
      <c r="A97" s="1"/>
      <c r="B97" s="1" t="s">
        <v>766</v>
      </c>
      <c r="C97" s="21">
        <v>22.64</v>
      </c>
      <c r="D97" s="32"/>
      <c r="E97" s="32"/>
      <c r="F97" s="32"/>
      <c r="G97" s="32"/>
      <c r="H97" s="32"/>
      <c r="I97" s="73"/>
      <c r="J97" s="2" t="s">
        <v>762</v>
      </c>
    </row>
    <row r="98">
      <c r="A98" s="1"/>
      <c r="B98" s="1" t="s">
        <v>767</v>
      </c>
      <c r="C98" s="63">
        <v>15</v>
      </c>
      <c r="D98" s="41"/>
      <c r="E98" s="41"/>
      <c r="F98" s="41"/>
      <c r="G98" s="41"/>
      <c r="H98" s="41"/>
      <c r="I98" s="80"/>
      <c r="J98" s="2" t="s">
        <v>762</v>
      </c>
    </row>
    <row r="99">
      <c r="A99" s="1"/>
      <c r="B99" s="1" t="s">
        <v>768</v>
      </c>
      <c r="C99" s="69" t="s">
        <v>769</v>
      </c>
      <c r="D99" s="43"/>
      <c r="E99" s="43"/>
      <c r="F99" s="43"/>
      <c r="G99" s="43"/>
      <c r="H99" s="43"/>
      <c r="I99" s="68"/>
      <c r="J99" s="2"/>
    </row>
    <row r="100">
      <c r="A100" s="1"/>
      <c r="B100" s="1" t="s">
        <v>770</v>
      </c>
      <c r="C100" s="69">
        <v>1.4</v>
      </c>
      <c r="D100" s="43"/>
      <c r="E100" s="43"/>
      <c r="F100" s="43"/>
      <c r="G100" s="43"/>
      <c r="H100" s="43"/>
      <c r="I100" s="68"/>
      <c r="J100" s="2"/>
    </row>
    <row r="101">
      <c r="A101" s="1"/>
      <c r="B101" s="1" t="s">
        <v>771</v>
      </c>
      <c r="C101" s="21">
        <v>25.38</v>
      </c>
      <c r="D101" s="32"/>
      <c r="E101" s="32"/>
      <c r="F101" s="32"/>
      <c r="G101" s="32"/>
      <c r="H101" s="32"/>
      <c r="I101" s="73"/>
      <c r="J101" s="2"/>
    </row>
    <row r="102">
      <c r="A102" s="1"/>
      <c r="B102" s="1" t="s">
        <v>772</v>
      </c>
      <c r="C102" s="69"/>
      <c r="D102" s="43"/>
      <c r="E102" s="43"/>
      <c r="F102" s="43"/>
      <c r="G102" s="43"/>
      <c r="H102" s="43"/>
      <c r="I102" s="68"/>
      <c r="J102" s="2"/>
    </row>
    <row r="103">
      <c r="A103" s="1"/>
      <c r="B103" s="1" t="s">
        <v>690</v>
      </c>
      <c r="C103" s="69" t="s">
        <v>22</v>
      </c>
      <c r="D103" s="43"/>
      <c r="E103" s="43"/>
      <c r="F103" s="43"/>
      <c r="G103" s="43"/>
      <c r="H103" s="43"/>
      <c r="I103" s="68"/>
      <c r="J103" s="2"/>
    </row>
    <row r="104">
      <c r="A104" s="1"/>
      <c r="B104" s="1" t="s">
        <v>773</v>
      </c>
      <c r="C104" s="92" t="s">
        <v>774</v>
      </c>
      <c r="D104" s="43"/>
      <c r="E104" s="43"/>
      <c r="F104" s="43"/>
      <c r="G104" s="43"/>
      <c r="H104" s="43"/>
      <c r="I104" s="68"/>
      <c r="J104" s="2"/>
    </row>
    <row r="105">
      <c r="A105" s="1"/>
      <c r="B105" s="1" t="s">
        <v>775</v>
      </c>
      <c r="C105" s="69" t="s">
        <v>684</v>
      </c>
      <c r="D105" s="43"/>
      <c r="E105" s="43"/>
      <c r="F105" s="43"/>
      <c r="G105" s="43"/>
      <c r="H105" s="43"/>
      <c r="I105" s="68"/>
      <c r="J105" s="2"/>
    </row>
    <row r="106">
      <c r="A106" s="1"/>
      <c r="B106" s="1" t="s">
        <v>776</v>
      </c>
      <c r="C106" s="92" t="s">
        <v>777</v>
      </c>
      <c r="D106" s="43"/>
      <c r="E106" s="43"/>
      <c r="F106" s="43"/>
      <c r="G106" s="43"/>
      <c r="H106" s="43"/>
      <c r="I106" s="68"/>
      <c r="J106" s="2"/>
    </row>
    <row r="107">
      <c r="A107" s="1"/>
      <c r="B107" s="1"/>
      <c r="C107" s="7"/>
      <c r="D107" s="7"/>
      <c r="E107" s="7"/>
      <c r="F107" s="7"/>
      <c r="G107" s="7"/>
      <c r="H107" s="7"/>
      <c r="I107" s="1"/>
      <c r="J107" s="2"/>
    </row>
    <row r="108">
      <c r="A108" s="1"/>
      <c r="B108" s="14" t="s">
        <v>778</v>
      </c>
      <c r="C108" s="35"/>
      <c r="D108" s="35"/>
      <c r="E108" s="35"/>
      <c r="F108" s="35"/>
      <c r="G108" s="35"/>
      <c r="H108" s="35"/>
      <c r="I108" s="1"/>
      <c r="J108" s="2"/>
    </row>
    <row r="109">
      <c r="A109" s="1"/>
      <c r="B109" s="1" t="s">
        <v>779</v>
      </c>
      <c r="C109" s="20">
        <f>'Share Count'!H48</f>
        <v>7402.63536</v>
      </c>
      <c r="D109" s="3"/>
      <c r="E109" s="3"/>
      <c r="F109" s="3"/>
      <c r="G109" s="3"/>
      <c r="H109" s="3"/>
      <c r="I109" s="79"/>
      <c r="J109" s="2" t="s">
        <v>780</v>
      </c>
    </row>
    <row r="110">
      <c r="A110" s="1"/>
      <c r="B110" s="1" t="s">
        <v>781</v>
      </c>
      <c r="C110" s="8">
        <v>2000</v>
      </c>
      <c r="D110" s="3"/>
      <c r="E110" s="3"/>
      <c r="F110" s="3"/>
      <c r="G110" s="3"/>
      <c r="H110" s="3"/>
      <c r="I110" s="79"/>
      <c r="J110" s="2" t="s">
        <v>782</v>
      </c>
    </row>
    <row r="111">
      <c r="A111" s="1"/>
      <c r="B111" s="1" t="s">
        <v>783</v>
      </c>
      <c r="C111" s="8">
        <v>10000</v>
      </c>
      <c r="D111" s="3"/>
      <c r="E111" s="3"/>
      <c r="F111" s="3"/>
      <c r="G111" s="3"/>
      <c r="H111" s="3"/>
      <c r="I111" s="79"/>
      <c r="J111" s="2"/>
    </row>
    <row r="112">
      <c r="A112" s="1"/>
      <c r="B112" s="25" t="s">
        <v>784</v>
      </c>
      <c r="C112" s="45">
        <v>0.6</v>
      </c>
      <c r="D112" s="7"/>
      <c r="E112" s="7"/>
      <c r="F112" s="7"/>
      <c r="G112" s="7"/>
      <c r="H112" s="7"/>
      <c r="I112" s="1"/>
      <c r="J112" s="2" t="s">
        <v>785</v>
      </c>
    </row>
    <row r="113">
      <c r="A113" s="1"/>
      <c r="B113" s="25" t="s">
        <v>786</v>
      </c>
      <c r="C113" s="45">
        <v>0.7</v>
      </c>
      <c r="D113" s="7"/>
      <c r="E113" s="7"/>
      <c r="F113" s="7"/>
      <c r="G113" s="7"/>
      <c r="H113" s="7"/>
      <c r="I113" s="1"/>
      <c r="J113" s="2" t="s">
        <v>787</v>
      </c>
    </row>
    <row r="114">
      <c r="A114" s="1"/>
      <c r="B114" s="25" t="s">
        <v>788</v>
      </c>
      <c r="C114" s="45">
        <v>0.78</v>
      </c>
      <c r="D114" s="7"/>
      <c r="E114" s="7"/>
      <c r="F114" s="7"/>
      <c r="G114" s="7"/>
      <c r="H114" s="7"/>
      <c r="I114" s="1"/>
      <c r="J114" s="2" t="s">
        <v>785</v>
      </c>
    </row>
    <row r="115">
      <c r="A115" s="1"/>
      <c r="B115" s="1" t="s">
        <v>789</v>
      </c>
      <c r="C115" s="7" t="str">
        <f>IF(C109&lt;C110,"small",IF(C109&lt;=C111,"mid","large"))</f>
        <v>mid</v>
      </c>
      <c r="D115" s="7"/>
      <c r="E115" s="7"/>
      <c r="F115" s="7"/>
      <c r="G115" s="7"/>
      <c r="H115" s="7"/>
      <c r="I115" s="1"/>
      <c r="J115" s="2"/>
    </row>
    <row r="116">
      <c r="A116" s="1"/>
      <c r="B116" s="1" t="s">
        <v>790</v>
      </c>
      <c r="C116" s="7" t="str">
        <f>C40</f>
        <v>N</v>
      </c>
      <c r="D116" s="7"/>
      <c r="E116" s="7"/>
      <c r="F116" s="7"/>
      <c r="G116" s="7"/>
      <c r="H116" s="7"/>
      <c r="I116" s="1"/>
      <c r="J116" s="2" t="s">
        <v>791</v>
      </c>
    </row>
    <row r="117">
      <c r="A117" s="1"/>
      <c r="B117" s="25" t="s">
        <v>792</v>
      </c>
      <c r="C117" s="23">
        <f>IF(OR(C115="large",C116="Y"),C114,IF(C115="mid",C113,C112))</f>
        <v>0.7</v>
      </c>
      <c r="D117" s="23"/>
      <c r="E117" s="23"/>
      <c r="F117" s="23"/>
      <c r="G117" s="23"/>
      <c r="H117" s="23"/>
      <c r="I117" s="78"/>
      <c r="J117" s="2"/>
    </row>
    <row r="118">
      <c r="A118" s="1"/>
      <c r="B118" s="1" t="s">
        <v>793</v>
      </c>
      <c r="C118" s="41">
        <f>SUMPRODUCT(--(E12:E17&gt;D12:D17))</f>
        <v>6</v>
      </c>
      <c r="D118" s="41"/>
      <c r="E118" s="41"/>
      <c r="F118" s="41"/>
      <c r="G118" s="41"/>
      <c r="H118" s="41"/>
      <c r="I118" s="80"/>
      <c r="J118" s="2"/>
    </row>
    <row r="119">
      <c r="A119" s="1"/>
      <c r="B119" s="1" t="s">
        <v>794</v>
      </c>
      <c r="C119" s="41">
        <f>COUNT(E12:E17)</f>
        <v>6</v>
      </c>
      <c r="D119" s="41"/>
      <c r="E119" s="41"/>
      <c r="F119" s="41"/>
      <c r="G119" s="41"/>
      <c r="H119" s="41"/>
      <c r="I119" s="80"/>
      <c r="J119" s="2" t="s">
        <v>795</v>
      </c>
    </row>
    <row r="120">
      <c r="A120" s="1"/>
      <c r="B120" s="1" t="s">
        <v>796</v>
      </c>
      <c r="C120" s="63">
        <v>8</v>
      </c>
      <c r="D120" s="41"/>
      <c r="E120" s="41"/>
      <c r="F120" s="41"/>
      <c r="G120" s="41"/>
      <c r="H120" s="41"/>
      <c r="I120" s="80"/>
      <c r="J120" s="2"/>
    </row>
    <row r="121">
      <c r="A121" s="1"/>
      <c r="B121" s="25" t="s">
        <v>797</v>
      </c>
      <c r="C121" s="23">
        <f>(C120*C117+C118)/(C120+C119)</f>
        <v>0.8285714285714285</v>
      </c>
      <c r="D121" s="23"/>
      <c r="E121" s="23"/>
      <c r="F121" s="23"/>
      <c r="G121" s="23"/>
      <c r="H121" s="23"/>
      <c r="I121" s="78"/>
      <c r="J121" s="2"/>
    </row>
    <row r="122">
      <c r="A122" s="1"/>
      <c r="B122" s="25" t="s">
        <v>798</v>
      </c>
      <c r="C122" s="45">
        <v>0.94</v>
      </c>
      <c r="D122" s="23"/>
      <c r="E122" s="23"/>
      <c r="F122" s="23"/>
      <c r="G122" s="23"/>
      <c r="H122" s="23"/>
      <c r="I122" s="78"/>
      <c r="J122" s="2" t="s">
        <v>799</v>
      </c>
    </row>
    <row r="123">
      <c r="A123" s="1"/>
      <c r="B123" s="25" t="s">
        <v>800</v>
      </c>
      <c r="C123" s="23">
        <f>C122-C121</f>
        <v>0.11142857142857143</v>
      </c>
      <c r="D123" s="23"/>
      <c r="E123" s="23"/>
      <c r="F123" s="23"/>
      <c r="G123" s="23"/>
      <c r="H123" s="23"/>
      <c r="I123" s="78"/>
      <c r="J123" s="2"/>
    </row>
    <row r="124">
      <c r="A124" s="1"/>
      <c r="B124" s="1" t="s">
        <v>801</v>
      </c>
      <c r="C124" s="7" t="s">
        <v>802</v>
      </c>
      <c r="D124" s="7"/>
      <c r="E124" s="7"/>
      <c r="F124" s="7"/>
      <c r="G124" s="7"/>
      <c r="H124" s="7"/>
      <c r="I124" s="1"/>
      <c r="J124" s="2" t="s">
        <v>803</v>
      </c>
    </row>
    <row r="125">
      <c r="A125" s="1"/>
      <c r="B125" s="1"/>
      <c r="C125" s="7"/>
      <c r="D125" s="7"/>
      <c r="E125" s="7"/>
      <c r="F125" s="7"/>
      <c r="G125" s="7"/>
      <c r="H125" s="7"/>
      <c r="I125" s="1"/>
      <c r="J125" s="2"/>
    </row>
    <row r="126">
      <c r="A126" s="1"/>
      <c r="B126" s="1"/>
      <c r="C126" s="7"/>
      <c r="D126" s="7"/>
      <c r="E126" s="7"/>
      <c r="F126" s="7"/>
      <c r="G126" s="7"/>
      <c r="H126" s="7"/>
      <c r="I126" s="1"/>
      <c r="J126" s="2"/>
    </row>
    <row r="127">
      <c r="A127" s="1"/>
      <c r="B127" s="1"/>
      <c r="C127" s="7"/>
      <c r="D127" s="7"/>
      <c r="E127" s="7"/>
      <c r="F127" s="7"/>
      <c r="G127" s="7"/>
      <c r="H127" s="7"/>
      <c r="I127" s="1"/>
      <c r="J127" s="2"/>
    </row>
  </sheetData>
</worksheet>
</file>

<file path=xl/worksheets/sheet11.xml><?xml version="1.0" encoding="utf-8"?>
<worksheet xmlns="http://schemas.openxmlformats.org/spreadsheetml/2006/main" xmlns:r="http://schemas.openxmlformats.org/officeDocument/2006/relationships">
  <dimension ref="A1:M40"/>
  <sheetViews>
    <sheetView showGridLines="0" workbookViewId="0"/>
  </sheetViews>
  <sheetFormatPr defaultColWidth="8.42578125" defaultRowHeight="15"/>
  <cols>
    <col min="1" max="1" width="2" customWidth="1"/>
    <col min="2" max="2" width="32" customWidth="1"/>
    <col min="3" max="8" width="12" customWidth="1"/>
    <col min="9" max="9" width="82" customWidth="1"/>
    <col min="10" max="10" width="46" customWidth="1"/>
    <col min="11" max="11" width="60" customWidth="1"/>
    <col min="12" max="12" width="100" customWidth="1"/>
    <col min="13" max="13" width="12" customWidth="1"/>
  </cols>
  <sheetData>
    <row r="1">
      <c r="A1" s="1"/>
      <c r="B1" s="1"/>
      <c r="C1" s="1"/>
      <c r="D1" s="1"/>
      <c r="E1" s="1"/>
      <c r="F1" s="1"/>
      <c r="G1" s="1"/>
      <c r="H1" s="1"/>
      <c r="I1" s="1"/>
      <c r="J1" s="1"/>
      <c r="K1" s="1"/>
      <c r="L1" s="1"/>
      <c r="M1" s="1"/>
    </row>
    <row r="2">
      <c r="A2" s="1"/>
      <c r="B2" s="28" t="s">
        <v>0</v>
      </c>
      <c r="C2" s="1"/>
      <c r="D2" s="1"/>
      <c r="E2" s="1"/>
      <c r="F2" s="1"/>
      <c r="G2" s="1"/>
      <c r="H2" s="1"/>
      <c r="I2" s="1"/>
      <c r="J2" s="1"/>
      <c r="K2" s="1"/>
      <c r="L2" s="1"/>
      <c r="M2" s="1"/>
    </row>
    <row r="3">
      <c r="A3" s="1"/>
      <c r="B3" s="14" t="s">
        <v>804</v>
      </c>
      <c r="C3" s="1"/>
      <c r="D3" s="1"/>
      <c r="E3" s="1"/>
      <c r="F3" s="1"/>
      <c r="G3" s="1"/>
      <c r="H3" s="1"/>
      <c r="I3" s="1"/>
      <c r="J3" s="1"/>
      <c r="K3" s="1"/>
      <c r="L3" s="1"/>
      <c r="M3" s="1"/>
    </row>
    <row r="4">
      <c r="A4" s="1"/>
      <c r="B4" s="25" t="s">
        <v>2</v>
      </c>
      <c r="C4" s="1"/>
      <c r="D4" s="1"/>
      <c r="E4" s="1"/>
      <c r="F4" s="1"/>
      <c r="G4" s="1"/>
      <c r="H4" s="1"/>
      <c r="I4" s="1"/>
      <c r="J4" s="1"/>
      <c r="K4" s="1"/>
      <c r="L4" s="1"/>
      <c r="M4" s="1"/>
    </row>
    <row r="5">
      <c r="A5" s="1"/>
      <c r="B5" s="1"/>
      <c r="C5" s="1"/>
      <c r="D5" s="1"/>
      <c r="E5" s="1"/>
      <c r="F5" s="1"/>
      <c r="G5" s="1"/>
      <c r="H5" s="1"/>
      <c r="I5" s="1"/>
      <c r="J5" s="1"/>
      <c r="K5" s="1"/>
      <c r="L5" s="1"/>
      <c r="M5" s="1"/>
    </row>
    <row r="6">
      <c r="A6" s="1"/>
      <c r="B6" s="13"/>
      <c r="C6" s="4"/>
      <c r="D6" s="4"/>
      <c r="E6" s="4"/>
      <c r="F6" s="4"/>
      <c r="G6" s="4"/>
      <c r="H6" s="4"/>
      <c r="I6" s="13"/>
      <c r="J6" s="13"/>
      <c r="K6" s="13"/>
      <c r="L6" s="13"/>
      <c r="M6" s="13"/>
    </row>
    <row r="7">
      <c r="A7" s="1"/>
      <c r="B7" s="6"/>
      <c r="C7" s="5"/>
      <c r="D7" s="5"/>
      <c r="E7" s="5"/>
      <c r="F7" s="5"/>
      <c r="G7" s="5"/>
      <c r="H7" s="5"/>
      <c r="I7" s="6"/>
      <c r="J7" s="6"/>
      <c r="K7" s="6"/>
      <c r="L7" s="6"/>
      <c r="M7" s="6"/>
    </row>
    <row r="8">
      <c r="A8" s="1"/>
      <c r="B8" s="11"/>
      <c r="C8" s="9"/>
      <c r="D8" s="9"/>
      <c r="E8" s="9"/>
      <c r="F8" s="9"/>
      <c r="G8" s="9"/>
      <c r="H8" s="9"/>
      <c r="I8" s="11"/>
      <c r="J8" s="11"/>
      <c r="K8" s="11"/>
      <c r="L8" s="11"/>
      <c r="M8" s="11"/>
    </row>
    <row r="9">
      <c r="A9" s="1"/>
      <c r="B9" s="1"/>
      <c r="C9" s="1"/>
      <c r="D9" s="1"/>
      <c r="E9" s="1"/>
      <c r="F9" s="1"/>
      <c r="G9" s="1"/>
      <c r="H9" s="1"/>
      <c r="I9" s="1"/>
      <c r="J9" s="1"/>
      <c r="K9" s="1"/>
      <c r="L9" s="1"/>
      <c r="M9" s="1"/>
    </row>
    <row r="10">
      <c r="A10" s="1"/>
      <c r="B10" s="15" t="s">
        <v>805</v>
      </c>
      <c r="C10" s="12" t="s">
        <v>806</v>
      </c>
      <c r="D10" s="12" t="s">
        <v>807</v>
      </c>
      <c r="E10" s="12"/>
      <c r="F10" s="12"/>
      <c r="G10" s="12"/>
      <c r="H10" s="12"/>
      <c r="I10" s="52" t="s">
        <v>808</v>
      </c>
      <c r="J10" s="52" t="s">
        <v>809</v>
      </c>
      <c r="K10" s="52" t="s">
        <v>810</v>
      </c>
      <c r="L10" s="52" t="s">
        <v>811</v>
      </c>
      <c r="M10" s="2"/>
    </row>
    <row r="11">
      <c r="A11" s="1"/>
      <c r="B11" s="1" t="s">
        <v>675</v>
      </c>
      <c r="C11" s="7" t="s">
        <v>684</v>
      </c>
      <c r="D11" s="7" t="s">
        <v>812</v>
      </c>
      <c r="E11" s="7"/>
      <c r="F11" s="7"/>
      <c r="G11" s="7"/>
      <c r="H11" s="7"/>
      <c r="I11" s="10" t="s">
        <v>813</v>
      </c>
      <c r="J11" s="10" t="s">
        <v>814</v>
      </c>
      <c r="K11" s="10" t="s">
        <v>815</v>
      </c>
      <c r="L11" s="10" t="s">
        <v>816</v>
      </c>
      <c r="M11" s="2"/>
    </row>
    <row r="12">
      <c r="A12" s="1"/>
      <c r="B12" s="1" t="s">
        <v>331</v>
      </c>
      <c r="C12" s="7" t="s">
        <v>684</v>
      </c>
      <c r="D12" s="7" t="s">
        <v>812</v>
      </c>
      <c r="E12" s="7"/>
      <c r="F12" s="7"/>
      <c r="G12" s="7"/>
      <c r="H12" s="7"/>
      <c r="I12" s="10" t="s">
        <v>817</v>
      </c>
      <c r="J12" s="10" t="s">
        <v>814</v>
      </c>
      <c r="K12" s="10" t="s">
        <v>818</v>
      </c>
      <c r="L12" s="10" t="s">
        <v>819</v>
      </c>
      <c r="M12" s="2"/>
    </row>
    <row r="13">
      <c r="A13" s="1"/>
      <c r="B13" s="1" t="s">
        <v>225</v>
      </c>
      <c r="C13" s="7" t="s">
        <v>622</v>
      </c>
      <c r="D13" s="7" t="s">
        <v>812</v>
      </c>
      <c r="E13" s="7"/>
      <c r="F13" s="7"/>
      <c r="G13" s="7"/>
      <c r="H13" s="7"/>
      <c r="I13" s="10" t="s">
        <v>820</v>
      </c>
      <c r="J13" s="10" t="s">
        <v>821</v>
      </c>
      <c r="K13" s="10" t="s">
        <v>822</v>
      </c>
      <c r="L13" s="10" t="s">
        <v>823</v>
      </c>
      <c r="M13" s="2"/>
    </row>
    <row r="14">
      <c r="A14" s="1"/>
      <c r="B14" s="1" t="s">
        <v>585</v>
      </c>
      <c r="C14" s="7" t="s">
        <v>640</v>
      </c>
      <c r="D14" s="7" t="s">
        <v>812</v>
      </c>
      <c r="E14" s="7"/>
      <c r="F14" s="7"/>
      <c r="G14" s="7"/>
      <c r="H14" s="7"/>
      <c r="I14" s="10" t="s">
        <v>824</v>
      </c>
      <c r="J14" s="10" t="s">
        <v>821</v>
      </c>
      <c r="K14" s="10" t="s">
        <v>825</v>
      </c>
      <c r="L14" s="10" t="s">
        <v>826</v>
      </c>
      <c r="M14" s="2"/>
    </row>
    <row r="15">
      <c r="A15" s="1"/>
      <c r="B15" s="1" t="s">
        <v>827</v>
      </c>
      <c r="C15" s="7" t="s">
        <v>632</v>
      </c>
      <c r="D15" s="7" t="s">
        <v>812</v>
      </c>
      <c r="E15" s="7"/>
      <c r="F15" s="7"/>
      <c r="G15" s="7"/>
      <c r="H15" s="7"/>
      <c r="I15" s="10" t="s">
        <v>828</v>
      </c>
      <c r="J15" s="10" t="s">
        <v>821</v>
      </c>
      <c r="K15" s="10" t="s">
        <v>829</v>
      </c>
      <c r="L15" s="10" t="s">
        <v>830</v>
      </c>
      <c r="M15" s="2"/>
    </row>
    <row r="16">
      <c r="A16" s="1"/>
      <c r="B16" s="1" t="s">
        <v>831</v>
      </c>
      <c r="C16" s="7" t="s">
        <v>632</v>
      </c>
      <c r="D16" s="7" t="s">
        <v>812</v>
      </c>
      <c r="E16" s="7"/>
      <c r="F16" s="7"/>
      <c r="G16" s="7"/>
      <c r="H16" s="7"/>
      <c r="I16" s="10" t="s">
        <v>832</v>
      </c>
      <c r="J16" s="10" t="s">
        <v>821</v>
      </c>
      <c r="K16" s="10" t="s">
        <v>833</v>
      </c>
      <c r="L16" s="10" t="s">
        <v>834</v>
      </c>
      <c r="M16" s="2"/>
    </row>
    <row r="17">
      <c r="A17" s="1"/>
      <c r="B17" s="1" t="s">
        <v>835</v>
      </c>
      <c r="C17" s="7" t="s">
        <v>669</v>
      </c>
      <c r="D17" s="7" t="s">
        <v>812</v>
      </c>
      <c r="E17" s="7"/>
      <c r="F17" s="7"/>
      <c r="G17" s="7"/>
      <c r="H17" s="7"/>
      <c r="I17" s="10" t="s">
        <v>836</v>
      </c>
      <c r="J17" s="10" t="s">
        <v>821</v>
      </c>
      <c r="K17" s="10" t="s">
        <v>837</v>
      </c>
      <c r="L17" s="10" t="s">
        <v>838</v>
      </c>
      <c r="M17" s="2"/>
    </row>
    <row r="18">
      <c r="A18" s="1"/>
      <c r="B18" s="1" t="s">
        <v>839</v>
      </c>
      <c r="C18" s="7" t="s">
        <v>840</v>
      </c>
      <c r="D18" s="7" t="s">
        <v>812</v>
      </c>
      <c r="E18" s="7"/>
      <c r="F18" s="7"/>
      <c r="G18" s="7"/>
      <c r="H18" s="7"/>
      <c r="I18" s="10" t="s">
        <v>841</v>
      </c>
      <c r="J18" s="10" t="s">
        <v>821</v>
      </c>
      <c r="K18" s="10" t="s">
        <v>842</v>
      </c>
      <c r="L18" s="10" t="s">
        <v>843</v>
      </c>
      <c r="M18" s="2"/>
    </row>
    <row r="19">
      <c r="A19" s="1"/>
      <c r="B19" s="1" t="s">
        <v>844</v>
      </c>
      <c r="C19" s="7" t="s">
        <v>627</v>
      </c>
      <c r="D19" s="7" t="s">
        <v>812</v>
      </c>
      <c r="E19" s="7"/>
      <c r="F19" s="7"/>
      <c r="G19" s="7"/>
      <c r="H19" s="7"/>
      <c r="I19" s="10" t="s">
        <v>845</v>
      </c>
      <c r="J19" s="10" t="s">
        <v>821</v>
      </c>
      <c r="K19" s="10" t="s">
        <v>846</v>
      </c>
      <c r="L19" s="10" t="s">
        <v>847</v>
      </c>
      <c r="M19" s="2"/>
    </row>
    <row r="20">
      <c r="A20" s="1"/>
      <c r="B20" s="1" t="s">
        <v>536</v>
      </c>
      <c r="C20" s="7" t="s">
        <v>627</v>
      </c>
      <c r="D20" s="7" t="s">
        <v>812</v>
      </c>
      <c r="E20" s="7"/>
      <c r="F20" s="7"/>
      <c r="G20" s="7"/>
      <c r="H20" s="7"/>
      <c r="I20" s="10" t="s">
        <v>848</v>
      </c>
      <c r="J20" s="10" t="s">
        <v>821</v>
      </c>
      <c r="K20" s="10" t="s">
        <v>849</v>
      </c>
      <c r="L20" s="10" t="s">
        <v>850</v>
      </c>
      <c r="M20" s="2"/>
    </row>
    <row r="21">
      <c r="A21" s="1"/>
      <c r="B21" s="1" t="s">
        <v>851</v>
      </c>
      <c r="C21" s="7" t="s">
        <v>622</v>
      </c>
      <c r="D21" s="7" t="s">
        <v>812</v>
      </c>
      <c r="E21" s="7"/>
      <c r="F21" s="7"/>
      <c r="G21" s="7"/>
      <c r="H21" s="7"/>
      <c r="I21" s="10" t="s">
        <v>852</v>
      </c>
      <c r="J21" s="10" t="s">
        <v>853</v>
      </c>
      <c r="K21" s="10" t="s">
        <v>854</v>
      </c>
      <c r="L21" s="10" t="s">
        <v>855</v>
      </c>
      <c r="M21" s="2"/>
    </row>
    <row r="22">
      <c r="A22" s="1"/>
      <c r="B22" s="1" t="s">
        <v>856</v>
      </c>
      <c r="C22" s="7" t="s">
        <v>857</v>
      </c>
      <c r="D22" s="7" t="s">
        <v>812</v>
      </c>
      <c r="E22" s="7"/>
      <c r="F22" s="7"/>
      <c r="G22" s="7"/>
      <c r="H22" s="7"/>
      <c r="I22" s="10" t="s">
        <v>858</v>
      </c>
      <c r="J22" s="10" t="s">
        <v>859</v>
      </c>
      <c r="K22" s="10" t="s">
        <v>860</v>
      </c>
      <c r="L22" s="10" t="s">
        <v>861</v>
      </c>
      <c r="M22" s="2"/>
    </row>
    <row r="23">
      <c r="A23" s="1"/>
      <c r="B23" s="1" t="s">
        <v>862</v>
      </c>
      <c r="C23" s="7" t="s">
        <v>863</v>
      </c>
      <c r="D23" s="7" t="s">
        <v>812</v>
      </c>
      <c r="E23" s="7"/>
      <c r="F23" s="7"/>
      <c r="G23" s="7"/>
      <c r="H23" s="7"/>
      <c r="I23" s="10" t="s">
        <v>864</v>
      </c>
      <c r="J23" s="10" t="s">
        <v>859</v>
      </c>
      <c r="K23" s="10" t="s">
        <v>865</v>
      </c>
      <c r="L23" s="10" t="s">
        <v>866</v>
      </c>
      <c r="M23" s="2"/>
    </row>
    <row r="24">
      <c r="A24" s="1"/>
      <c r="B24" s="1" t="s">
        <v>867</v>
      </c>
      <c r="C24" s="7" t="s">
        <v>868</v>
      </c>
      <c r="D24" s="7" t="s">
        <v>812</v>
      </c>
      <c r="E24" s="7"/>
      <c r="F24" s="7"/>
      <c r="G24" s="7"/>
      <c r="H24" s="7"/>
      <c r="I24" s="10" t="s">
        <v>869</v>
      </c>
      <c r="J24" s="10" t="s">
        <v>870</v>
      </c>
      <c r="K24" s="10" t="s">
        <v>871</v>
      </c>
      <c r="L24" s="10" t="s">
        <v>872</v>
      </c>
      <c r="M24" s="2"/>
    </row>
    <row r="25">
      <c r="A25" s="1"/>
      <c r="B25" s="1" t="s">
        <v>873</v>
      </c>
      <c r="C25" s="7" t="s">
        <v>874</v>
      </c>
      <c r="D25" s="7" t="s">
        <v>812</v>
      </c>
      <c r="E25" s="7"/>
      <c r="F25" s="7"/>
      <c r="G25" s="7"/>
      <c r="H25" s="7"/>
      <c r="I25" s="10" t="s">
        <v>875</v>
      </c>
      <c r="J25" s="10" t="s">
        <v>876</v>
      </c>
      <c r="K25" s="10" t="s">
        <v>877</v>
      </c>
      <c r="L25" s="10" t="s">
        <v>878</v>
      </c>
      <c r="M25" s="2"/>
    </row>
    <row r="26">
      <c r="A26" s="1"/>
      <c r="B26" s="1" t="s">
        <v>879</v>
      </c>
      <c r="C26" s="7" t="s">
        <v>880</v>
      </c>
      <c r="D26" s="7" t="s">
        <v>812</v>
      </c>
      <c r="E26" s="7"/>
      <c r="F26" s="7"/>
      <c r="G26" s="7"/>
      <c r="H26" s="7"/>
      <c r="I26" s="10" t="s">
        <v>881</v>
      </c>
      <c r="J26" s="10" t="s">
        <v>882</v>
      </c>
      <c r="K26" s="10" t="s">
        <v>883</v>
      </c>
      <c r="L26" s="10" t="s">
        <v>884</v>
      </c>
      <c r="M26" s="2"/>
    </row>
    <row r="27">
      <c r="A27" s="1"/>
      <c r="B27" s="1" t="s">
        <v>885</v>
      </c>
      <c r="C27" s="7" t="s">
        <v>863</v>
      </c>
      <c r="D27" s="7" t="s">
        <v>812</v>
      </c>
      <c r="E27" s="7"/>
      <c r="F27" s="7"/>
      <c r="G27" s="7"/>
      <c r="H27" s="7"/>
      <c r="I27" s="10" t="s">
        <v>886</v>
      </c>
      <c r="J27" s="10" t="s">
        <v>887</v>
      </c>
      <c r="K27" s="10" t="s">
        <v>888</v>
      </c>
      <c r="L27" s="10" t="s">
        <v>889</v>
      </c>
      <c r="M27" s="2"/>
    </row>
    <row r="28">
      <c r="A28" s="1"/>
      <c r="B28" s="1" t="s">
        <v>890</v>
      </c>
      <c r="C28" s="7" t="s">
        <v>891</v>
      </c>
      <c r="D28" s="7" t="s">
        <v>812</v>
      </c>
      <c r="E28" s="7"/>
      <c r="F28" s="7"/>
      <c r="G28" s="7"/>
      <c r="H28" s="7"/>
      <c r="I28" s="10" t="s">
        <v>892</v>
      </c>
      <c r="J28" s="10" t="s">
        <v>893</v>
      </c>
      <c r="K28" s="10" t="s">
        <v>894</v>
      </c>
      <c r="L28" s="10" t="s">
        <v>895</v>
      </c>
      <c r="M28" s="2"/>
    </row>
    <row r="29">
      <c r="A29" s="1"/>
      <c r="B29" s="1" t="s">
        <v>896</v>
      </c>
      <c r="C29" s="7" t="s">
        <v>897</v>
      </c>
      <c r="D29" s="7" t="s">
        <v>812</v>
      </c>
      <c r="E29" s="7"/>
      <c r="F29" s="7"/>
      <c r="G29" s="7"/>
      <c r="H29" s="7"/>
      <c r="I29" s="10" t="s">
        <v>898</v>
      </c>
      <c r="J29" s="10" t="s">
        <v>899</v>
      </c>
      <c r="K29" s="10" t="s">
        <v>900</v>
      </c>
      <c r="L29" s="10" t="s">
        <v>901</v>
      </c>
      <c r="M29" s="2"/>
    </row>
    <row r="30">
      <c r="A30" s="1"/>
      <c r="B30" s="1" t="s">
        <v>902</v>
      </c>
      <c r="C30" s="7" t="s">
        <v>632</v>
      </c>
      <c r="D30" s="7" t="s">
        <v>812</v>
      </c>
      <c r="E30" s="7"/>
      <c r="F30" s="7"/>
      <c r="G30" s="7"/>
      <c r="H30" s="7"/>
      <c r="I30" s="10" t="s">
        <v>903</v>
      </c>
      <c r="J30" s="10" t="s">
        <v>904</v>
      </c>
      <c r="K30" s="10" t="s">
        <v>905</v>
      </c>
      <c r="L30" s="10" t="s">
        <v>906</v>
      </c>
      <c r="M30" s="2"/>
    </row>
    <row r="31">
      <c r="A31" s="1"/>
      <c r="B31" s="1" t="s">
        <v>785</v>
      </c>
      <c r="C31" s="7" t="s">
        <v>684</v>
      </c>
      <c r="D31" s="7" t="s">
        <v>812</v>
      </c>
      <c r="E31" s="7"/>
      <c r="F31" s="7"/>
      <c r="G31" s="7"/>
      <c r="H31" s="7"/>
      <c r="I31" s="10" t="s">
        <v>907</v>
      </c>
      <c r="J31" s="10" t="s">
        <v>908</v>
      </c>
      <c r="K31" s="10" t="s">
        <v>909</v>
      </c>
      <c r="L31" s="10" t="s">
        <v>910</v>
      </c>
      <c r="M31" s="2"/>
    </row>
    <row r="32">
      <c r="A32" s="1"/>
      <c r="B32" s="1"/>
      <c r="C32" s="7"/>
      <c r="D32" s="7"/>
      <c r="E32" s="7"/>
      <c r="F32" s="7"/>
      <c r="G32" s="7"/>
      <c r="H32" s="7"/>
      <c r="I32" s="10"/>
      <c r="J32" s="10"/>
      <c r="K32" s="10"/>
      <c r="L32" s="10"/>
      <c r="M32" s="2"/>
    </row>
    <row r="33">
      <c r="A33" s="1"/>
      <c r="B33" s="1" t="s">
        <v>911</v>
      </c>
      <c r="C33" s="7"/>
      <c r="D33" s="7"/>
      <c r="E33" s="7"/>
      <c r="F33" s="7"/>
      <c r="G33" s="7"/>
      <c r="H33" s="7"/>
      <c r="I33" s="10" t="s">
        <v>912</v>
      </c>
      <c r="J33" s="10"/>
      <c r="K33" s="10"/>
      <c r="L33" s="10"/>
      <c r="M33" s="2"/>
    </row>
    <row r="34">
      <c r="A34" s="1"/>
      <c r="B34" s="1" t="s">
        <v>913</v>
      </c>
      <c r="C34" s="7"/>
      <c r="D34" s="7"/>
      <c r="E34" s="7"/>
      <c r="F34" s="7"/>
      <c r="G34" s="7"/>
      <c r="H34" s="7"/>
      <c r="I34" s="10" t="s">
        <v>914</v>
      </c>
      <c r="J34" s="10"/>
      <c r="K34" s="10"/>
      <c r="L34" s="10"/>
      <c r="M34" s="2"/>
    </row>
    <row r="35">
      <c r="A35" s="1"/>
      <c r="B35" s="1" t="s">
        <v>915</v>
      </c>
      <c r="C35" s="7"/>
      <c r="D35" s="7"/>
      <c r="E35" s="7"/>
      <c r="F35" s="7"/>
      <c r="G35" s="7"/>
      <c r="H35" s="7"/>
      <c r="I35" s="10" t="s">
        <v>916</v>
      </c>
      <c r="J35" s="10"/>
      <c r="K35" s="10"/>
      <c r="L35" s="10"/>
      <c r="M35" s="2"/>
    </row>
    <row r="36">
      <c r="A36" s="1"/>
      <c r="B36" s="1"/>
      <c r="C36" s="7"/>
      <c r="D36" s="7"/>
      <c r="E36" s="7"/>
      <c r="F36" s="7"/>
      <c r="G36" s="7"/>
      <c r="H36" s="7"/>
      <c r="I36" s="10"/>
      <c r="J36" s="10"/>
      <c r="K36" s="10"/>
      <c r="L36" s="10"/>
      <c r="M36" s="2"/>
    </row>
    <row r="37">
      <c r="A37" s="1"/>
      <c r="B37" s="1"/>
      <c r="C37" s="7"/>
      <c r="D37" s="7"/>
      <c r="E37" s="7"/>
      <c r="F37" s="7"/>
      <c r="G37" s="7"/>
      <c r="H37" s="7"/>
      <c r="I37" s="10"/>
      <c r="J37" s="10"/>
      <c r="K37" s="10"/>
      <c r="L37" s="10"/>
      <c r="M37" s="2"/>
    </row>
    <row r="38">
      <c r="A38" s="1"/>
      <c r="B38" s="1"/>
      <c r="C38" s="7"/>
      <c r="D38" s="7"/>
      <c r="E38" s="7"/>
      <c r="F38" s="7"/>
      <c r="G38" s="7"/>
      <c r="H38" s="7"/>
      <c r="I38" s="10"/>
      <c r="J38" s="10"/>
      <c r="K38" s="10"/>
      <c r="L38" s="10"/>
      <c r="M38" s="2"/>
    </row>
    <row r="39">
      <c r="I39" s="54"/>
      <c r="J39" s="54"/>
      <c r="K39" s="54"/>
      <c r="L39" s="54"/>
    </row>
    <row r="40">
      <c r="I40" s="54"/>
      <c r="J40" s="54"/>
      <c r="K40" s="54"/>
      <c r="L40" s="54"/>
    </row>
  </sheetData>
</worksheet>
</file>